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33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0">'прил.1'!$A$1:$AD$45</definedName>
    <definedName name="_xlnm.Print_Area" localSheetId="2">'прил.3'!$A$1:$M$46</definedName>
  </definedNames>
  <calcPr fullCalcOnLoad="1"/>
</workbook>
</file>

<file path=xl/sharedStrings.xml><?xml version="1.0" encoding="utf-8"?>
<sst xmlns="http://schemas.openxmlformats.org/spreadsheetml/2006/main" count="430" uniqueCount="231">
  <si>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</si>
  <si>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</si>
  <si>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</si>
  <si>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</si>
  <si>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</si>
  <si>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</si>
  <si>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</si>
  <si>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</si>
  <si>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</si>
  <si>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</si>
  <si>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</si>
  <si>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</si>
  <si>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</si>
  <si>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</si>
  <si>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</si>
  <si>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</si>
  <si>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</si>
  <si>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</si>
  <si>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</si>
  <si>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</si>
  <si>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</si>
  <si>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</si>
  <si>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</si>
  <si>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</si>
  <si>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</si>
  <si>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</si>
  <si>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</si>
  <si>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</si>
  <si>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</si>
  <si>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</si>
  <si>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</si>
  <si>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</si>
  <si>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</si>
  <si>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</si>
  <si>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</si>
  <si>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</si>
  <si>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</si>
  <si>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</si>
  <si>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</si>
  <si>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</si>
  <si>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</si>
  <si>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</si>
  <si>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</si>
  <si>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</si>
  <si>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3.2</t>
  </si>
  <si>
    <t>3.3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</si>
  <si>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</si>
  <si>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</si>
  <si>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</si>
  <si>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</si>
  <si>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</si>
  <si>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</si>
  <si>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</si>
  <si>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</si>
  <si>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</si>
  <si>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</si>
  <si>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</si>
  <si>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</si>
  <si>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</si>
  <si>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</si>
  <si>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</si>
  <si>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</si>
  <si>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</si>
  <si>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</si>
  <si>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</si>
  <si>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</si>
  <si>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</si>
  <si>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</si>
  <si>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</si>
  <si>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</si>
  <si>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</si>
  <si>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</si>
  <si>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</si>
  <si>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</si>
  <si>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</si>
  <si>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</si>
  <si>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</si>
  <si>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</si>
  <si>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</si>
  <si>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</si>
  <si>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</si>
  <si>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</si>
  <si>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</si>
  <si>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</si>
  <si>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</si>
  <si>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</si>
  <si>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</si>
  <si>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</si>
  <si>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</si>
  <si>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</si>
  <si>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</si>
  <si>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</si>
  <si>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</si>
  <si>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</si>
  <si>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</si>
  <si>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</si>
  <si>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</si>
  <si>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</si>
  <si>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</si>
  <si>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</si>
  <si>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</si>
  <si>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</si>
  <si>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</si>
  <si>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</si>
  <si>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</si>
  <si>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</si>
  <si>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основные средства</t>
  </si>
  <si>
    <t>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</si>
  <si>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</si>
  <si>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r>
      <t>Раздел 3</t>
    </r>
    <r>
      <rPr>
        <b/>
        <sz val="12"/>
        <rFont val="Times New Roman"/>
        <family val="1"/>
      </rPr>
      <t xml:space="preserve"> План принятия основных средств и нематериальных активов к бухгалтерскому учету</t>
    </r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</si>
  <si>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</si>
  <si>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</si>
  <si>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</si>
  <si>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</si>
  <si>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</si>
  <si>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</si>
  <si>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</si>
  <si>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</si>
  <si>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</si>
  <si>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</si>
  <si>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</si>
  <si>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</si>
  <si>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</si>
  <si>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</si>
  <si>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</si>
  <si>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</si>
  <si>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t>1.2.</t>
  </si>
  <si>
    <t>3.2.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</si>
  <si>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</si>
  <si>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_______________________________</t>
  </si>
  <si>
    <t>наименование субъекта Российской Федерации</t>
  </si>
  <si>
    <t>3.4.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</si>
  <si>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</si>
  <si>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</si>
  <si>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</si>
  <si>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</si>
  <si>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</si>
  <si>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</si>
  <si>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</si>
  <si>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</si>
  <si>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</si>
  <si>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</si>
  <si>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</si>
  <si>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</si>
  <si>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</si>
  <si>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</si>
  <si>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</si>
  <si>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</si>
  <si>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</si>
  <si>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</si>
  <si>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1.3.</t>
  </si>
  <si>
    <t>1.4.</t>
  </si>
  <si>
    <t>1.5.</t>
  </si>
  <si>
    <t>3.1.</t>
  </si>
  <si>
    <t>к решению ______________ от «__» _________ г. №__________</t>
  </si>
  <si>
    <t>Приложение  № 5</t>
  </si>
  <si>
    <t>Оснащение интеллектуальной системой учета</t>
  </si>
  <si>
    <t>Электросчетчик однофазный</t>
  </si>
  <si>
    <t>Электросчетчик трехфазный</t>
  </si>
  <si>
    <t>3.1.1.</t>
  </si>
  <si>
    <t>2023 год</t>
  </si>
  <si>
    <t>1.5</t>
  </si>
  <si>
    <t>Серверное оборудование</t>
  </si>
  <si>
    <t>3.1.2</t>
  </si>
  <si>
    <t>3.1.3</t>
  </si>
  <si>
    <t>3.1.4</t>
  </si>
  <si>
    <t>3.1.5</t>
  </si>
  <si>
    <t>3.1.6</t>
  </si>
  <si>
    <t>3.1.7</t>
  </si>
  <si>
    <t>3.1.8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</si>
  <si>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 </t>
    </r>
  </si>
  <si>
    <t>2024 год</t>
  </si>
  <si>
    <t>Терминал самообслуживания</t>
  </si>
  <si>
    <t>Ленточная библиотека HPE STOREEVER MSL2024 LTO-7 15000 SAS (P9G69A)</t>
  </si>
  <si>
    <t>2.8</t>
  </si>
  <si>
    <t>2.9</t>
  </si>
  <si>
    <t>2.10</t>
  </si>
  <si>
    <t>2.11</t>
  </si>
  <si>
    <t>2.12</t>
  </si>
  <si>
    <t>2.13</t>
  </si>
  <si>
    <t>2.14</t>
  </si>
  <si>
    <t>ПИР</t>
  </si>
  <si>
    <t>СМР, ПНР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</si>
  <si>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</si>
  <si>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2025 года </t>
    </r>
  </si>
  <si>
    <t>План 
на 01.01.2023</t>
  </si>
  <si>
    <t>2025 год</t>
  </si>
  <si>
    <t>Обособленное подразделение "АтомЭнергоСбыт" Тверь</t>
  </si>
  <si>
    <t>Кондиционер AUX ALCA-H48/5R1</t>
  </si>
  <si>
    <t>Вывеска на фасаде здания</t>
  </si>
  <si>
    <t>Система электронной очереди</t>
  </si>
  <si>
    <t>Установка шлагбаума</t>
  </si>
  <si>
    <t>M_ТАЭС.01</t>
  </si>
  <si>
    <t>M_ТАЭС.02</t>
  </si>
  <si>
    <t>M_ТАЭС.03</t>
  </si>
  <si>
    <t>M_ТАЭС.04</t>
  </si>
  <si>
    <t>M_ТАЭС.05</t>
  </si>
  <si>
    <t>МФУ</t>
  </si>
  <si>
    <t>Замена ИБП</t>
  </si>
  <si>
    <t>Маршрутизатор  Cisco ISR 4321 в составе:
-Расширение портов Cisco NIM-2GE-CU-SFP-1шт.</t>
  </si>
  <si>
    <t>АПКШ Континент 3.9 IPC25</t>
  </si>
  <si>
    <t>Система хранения данных (СХД) HPE MSA 2062 + 24 SSD SAS 1,92 TB</t>
  </si>
  <si>
    <t>Сервер HPE ProLiant DL560 Gen10 (4xXeon Gold 6254, DDR 512 Gb, SAS SSD)</t>
  </si>
  <si>
    <t>Модернизация КСПД</t>
  </si>
  <si>
    <t>Модернизация системы телефонной связи Avaya</t>
  </si>
  <si>
    <t>Модернизация системы телефонной связи</t>
  </si>
  <si>
    <t>Модернизация ВКС</t>
  </si>
  <si>
    <t>LED ДИСПЛЕЙ PHILIPS 43BDL4051D/00</t>
  </si>
  <si>
    <t>Проектор Epson EB-992F</t>
  </si>
  <si>
    <t>Ноутбук APPLE MacBook Air 13.3", MVH42RU/A</t>
  </si>
  <si>
    <t>M_ТАЭС.06</t>
  </si>
  <si>
    <t>M_ТАЭС.07</t>
  </si>
  <si>
    <t>M_ТАЭС.08</t>
  </si>
  <si>
    <t>M_ТАЭС.09</t>
  </si>
  <si>
    <t>M_ТАЭС.10</t>
  </si>
  <si>
    <t>M_ТАЭС.11</t>
  </si>
  <si>
    <t>M_ТАЭС.12</t>
  </si>
  <si>
    <t>M_ТАЭС.13</t>
  </si>
  <si>
    <t>M_ТАЭС.14</t>
  </si>
  <si>
    <t>M_ТАЭС.15</t>
  </si>
  <si>
    <t>M_ТАЭС.16</t>
  </si>
  <si>
    <t>M_ТАЭС.17</t>
  </si>
  <si>
    <t>M_ТАЭС.18</t>
  </si>
  <si>
    <t>M_ТАЭС.19</t>
  </si>
  <si>
    <t>Покупка здания в г. Тверь</t>
  </si>
  <si>
    <t>M_ТАЭС.21</t>
  </si>
  <si>
    <t>M_ТАЭС.20</t>
  </si>
  <si>
    <t xml:space="preserve">План 
на 01.01.2023 года </t>
  </si>
  <si>
    <t>Трансформатор тока</t>
  </si>
  <si>
    <t>Материалы</t>
  </si>
  <si>
    <t xml:space="preserve">Устройство сбора и передачи данных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</si>
</sst>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\ _₽_-;\-* #,##0\ _₽_-;_-* &quot;-&quot;??\ _₽_-;_-@_-"/>
    <numFmt numFmtId="197" formatCode="_-* #,##0.0\ _р_._-;\-* #,##0.0\ _р_._-;_-* &quot;-&quot;??\ _р_._-;_-@_-"/>
    <numFmt numFmtId="198" formatCode="_-* #,##0\ _р_._-;\-* #,##0\ _р_._-;_-* &quot;-&quot;??\ _р_._-;_-@_-"/>
    <numFmt numFmtId="199" formatCode="_-* #,##0.000\ _₽_-;\-* #,##0.000\ _₽_-;_-* &quot;-&quot;???\ _₽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u val="single"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1" fillId="0" borderId="0" xfId="58" applyFont="1" applyFill="1" applyAlignment="1">
      <alignment vertical="center"/>
      <protection/>
    </xf>
    <xf numFmtId="0" fontId="62" fillId="0" borderId="0" xfId="58" applyFont="1" applyFill="1" applyAlignment="1">
      <alignment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0" xfId="0" applyFont="1" applyFill="1" applyBorder="1" applyAlignment="1">
      <alignment horizontal="center"/>
    </xf>
    <xf numFmtId="0" fontId="63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64" fillId="0" borderId="0" xfId="5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64" fillId="0" borderId="0" xfId="57" applyFont="1" applyFill="1" applyBorder="1" applyAlignment="1">
      <alignment horizontal="center" vertical="center" wrapText="1"/>
      <protection/>
    </xf>
    <xf numFmtId="49" fontId="64" fillId="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4" fillId="0" borderId="10" xfId="57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49" fontId="64" fillId="0" borderId="10" xfId="57" applyNumberFormat="1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vertical="center"/>
      <protection/>
    </xf>
    <xf numFmtId="0" fontId="65" fillId="0" borderId="0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49" fontId="62" fillId="0" borderId="0" xfId="58" applyNumberFormat="1" applyFont="1" applyFill="1" applyBorder="1" applyAlignment="1">
      <alignment horizontal="center" vertical="center"/>
      <protection/>
    </xf>
    <xf numFmtId="0" fontId="62" fillId="0" borderId="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3" fillId="33" borderId="0" xfId="58" applyFont="1" applyFill="1" applyAlignment="1">
      <alignment horizontal="center" vertical="center"/>
      <protection/>
    </xf>
    <xf numFmtId="0" fontId="62" fillId="33" borderId="0" xfId="58" applyFont="1" applyFill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61" fillId="33" borderId="0" xfId="58" applyFont="1" applyFill="1" applyAlignment="1">
      <alignment vertical="center"/>
      <protection/>
    </xf>
    <xf numFmtId="0" fontId="62" fillId="33" borderId="0" xfId="58" applyFont="1" applyFill="1" applyAlignment="1">
      <alignment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66" fillId="0" borderId="10" xfId="58" applyFont="1" applyFill="1" applyBorder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7" fontId="62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top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0" xfId="55" applyFont="1" applyFill="1">
      <alignment/>
      <protection/>
    </xf>
    <xf numFmtId="0" fontId="4" fillId="0" borderId="0" xfId="54" applyFont="1" applyAlignment="1">
      <alignment horizontal="right"/>
      <protection/>
    </xf>
    <xf numFmtId="0" fontId="65" fillId="0" borderId="0" xfId="56" applyFont="1" applyFill="1" applyBorder="1" applyAlignment="1">
      <alignment/>
      <protection/>
    </xf>
    <xf numFmtId="0" fontId="7" fillId="0" borderId="0" xfId="0" applyFont="1" applyAlignment="1">
      <alignment wrapText="1"/>
    </xf>
    <xf numFmtId="0" fontId="3" fillId="33" borderId="0" xfId="55" applyFont="1" applyFill="1" applyAlignment="1">
      <alignment wrapText="1"/>
      <protection/>
    </xf>
    <xf numFmtId="0" fontId="3" fillId="33" borderId="0" xfId="55" applyFont="1" applyFill="1" applyAlignment="1">
      <alignment horizontal="right"/>
      <protection/>
    </xf>
    <xf numFmtId="17" fontId="3" fillId="33" borderId="0" xfId="55" applyNumberFormat="1" applyFont="1" applyFill="1">
      <alignment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49" fontId="11" fillId="33" borderId="10" xfId="55" applyNumberFormat="1" applyFont="1" applyFill="1" applyBorder="1" applyAlignment="1">
      <alignment horizontal="center" vertical="center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>
      <alignment/>
      <protection/>
    </xf>
    <xf numFmtId="185" fontId="3" fillId="0" borderId="10" xfId="55" applyNumberFormat="1" applyFont="1" applyFill="1" applyBorder="1" applyAlignment="1">
      <alignment horizontal="center" vertical="center" wrapText="1"/>
      <protection/>
    </xf>
    <xf numFmtId="185" fontId="3" fillId="33" borderId="10" xfId="55" applyNumberFormat="1" applyFont="1" applyFill="1" applyBorder="1" applyAlignment="1">
      <alignment horizontal="center" vertical="center" wrapText="1"/>
      <protection/>
    </xf>
    <xf numFmtId="0" fontId="40" fillId="33" borderId="0" xfId="59" applyFont="1" applyFill="1" applyAlignment="1">
      <alignment vertical="center" wrapText="1"/>
      <protection/>
    </xf>
    <xf numFmtId="0" fontId="63" fillId="33" borderId="0" xfId="53" applyFont="1" applyFill="1" applyAlignment="1">
      <alignment horizontal="justify"/>
      <protection/>
    </xf>
    <xf numFmtId="49" fontId="8" fillId="33" borderId="0" xfId="55" applyNumberFormat="1" applyFont="1" applyFill="1" applyAlignment="1">
      <alignment horizontal="center" vertical="center"/>
      <protection/>
    </xf>
    <xf numFmtId="187" fontId="67" fillId="33" borderId="0" xfId="55" applyNumberFormat="1" applyFont="1" applyFill="1">
      <alignment/>
      <protection/>
    </xf>
    <xf numFmtId="186" fontId="3" fillId="33" borderId="0" xfId="55" applyNumberFormat="1" applyFont="1" applyFill="1">
      <alignment/>
      <protection/>
    </xf>
    <xf numFmtId="0" fontId="7" fillId="0" borderId="0" xfId="0" applyFont="1" applyFill="1" applyAlignment="1">
      <alignment/>
    </xf>
    <xf numFmtId="2" fontId="16" fillId="0" borderId="10" xfId="68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2" fillId="0" borderId="10" xfId="58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62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14" fontId="62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2" fontId="7" fillId="0" borderId="15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7" fillId="34" borderId="10" xfId="58" applyNumberFormat="1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14" fontId="62" fillId="34" borderId="10" xfId="58" applyNumberFormat="1" applyFont="1" applyFill="1" applyBorder="1" applyAlignment="1">
      <alignment horizontal="center" vertical="center" wrapText="1"/>
      <protection/>
    </xf>
    <xf numFmtId="179" fontId="3" fillId="34" borderId="10" xfId="68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179" fontId="3" fillId="34" borderId="10" xfId="68" applyFont="1" applyFill="1" applyBorder="1" applyAlignment="1">
      <alignment/>
    </xf>
    <xf numFmtId="198" fontId="3" fillId="34" borderId="14" xfId="68" applyNumberFormat="1" applyFont="1" applyFill="1" applyBorder="1" applyAlignment="1">
      <alignment horizontal="center" vertical="top" wrapText="1"/>
    </xf>
    <xf numFmtId="198" fontId="3" fillId="34" borderId="10" xfId="68" applyNumberFormat="1" applyFont="1" applyFill="1" applyBorder="1" applyAlignment="1">
      <alignment horizontal="center" vertical="center" wrapText="1"/>
    </xf>
    <xf numFmtId="179" fontId="3" fillId="34" borderId="10" xfId="68" applyNumberFormat="1" applyFont="1" applyFill="1" applyBorder="1" applyAlignment="1">
      <alignment horizontal="center" vertical="center" wrapText="1"/>
    </xf>
    <xf numFmtId="179" fontId="3" fillId="34" borderId="10" xfId="68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/>
    </xf>
    <xf numFmtId="179" fontId="3" fillId="34" borderId="10" xfId="68" applyNumberFormat="1" applyFont="1" applyFill="1" applyBorder="1" applyAlignment="1">
      <alignment vertical="center" wrapText="1"/>
    </xf>
    <xf numFmtId="179" fontId="3" fillId="34" borderId="10" xfId="68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95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5" xfId="58" applyNumberFormat="1" applyFont="1" applyFill="1" applyBorder="1" applyAlignment="1">
      <alignment horizontal="center" vertical="center" wrapText="1"/>
      <protection/>
    </xf>
    <xf numFmtId="1" fontId="3" fillId="0" borderId="12" xfId="58" applyNumberFormat="1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2" fontId="61" fillId="33" borderId="16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58" applyFont="1" applyFill="1" applyAlignment="1">
      <alignment horizontal="center" vertical="center"/>
      <protection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0" fontId="68" fillId="0" borderId="0" xfId="58" applyFont="1" applyFill="1" applyAlignment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top"/>
    </xf>
    <xf numFmtId="0" fontId="64" fillId="0" borderId="10" xfId="57" applyFont="1" applyFill="1" applyBorder="1" applyAlignment="1">
      <alignment horizontal="center" vertical="center" wrapText="1"/>
      <protection/>
    </xf>
    <xf numFmtId="0" fontId="64" fillId="0" borderId="10" xfId="57" applyFont="1" applyFill="1" applyBorder="1" applyAlignment="1">
      <alignment horizontal="center" vertical="center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0" fontId="65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4" fillId="0" borderId="15" xfId="57" applyFont="1" applyFill="1" applyBorder="1" applyAlignment="1">
      <alignment horizontal="center" vertical="center" wrapText="1"/>
      <protection/>
    </xf>
    <xf numFmtId="0" fontId="64" fillId="0" borderId="12" xfId="57" applyFont="1" applyFill="1" applyBorder="1" applyAlignment="1">
      <alignment horizontal="center" vertical="center" wrapText="1"/>
      <protection/>
    </xf>
    <xf numFmtId="0" fontId="64" fillId="0" borderId="11" xfId="57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/>
      <protection/>
    </xf>
    <xf numFmtId="49" fontId="3" fillId="33" borderId="0" xfId="55" applyNumberFormat="1" applyFont="1" applyFill="1" applyAlignment="1">
      <alignment horizontal="left" vertical="center" wrapText="1"/>
      <protection/>
    </xf>
    <xf numFmtId="0" fontId="3" fillId="33" borderId="0" xfId="55" applyFont="1" applyFill="1" applyAlignment="1">
      <alignment horizontal="left" vertical="top" wrapText="1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14" fillId="33" borderId="0" xfId="55" applyFont="1" applyFill="1" applyAlignment="1">
      <alignment horizontal="center"/>
      <protection/>
    </xf>
    <xf numFmtId="49" fontId="9" fillId="33" borderId="10" xfId="55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65" fillId="0" borderId="0" xfId="56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63" fillId="33" borderId="0" xfId="53" applyFont="1" applyFill="1" applyAlignment="1">
      <alignment horizontal="center" vertical="center"/>
      <protection/>
    </xf>
    <xf numFmtId="0" fontId="69" fillId="33" borderId="0" xfId="53" applyFont="1" applyFill="1" applyAlignment="1">
      <alignment horizontal="center" vertical="top"/>
      <protection/>
    </xf>
    <xf numFmtId="49" fontId="8" fillId="33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86;&#1078;&#1082;&#1086;&#1074;&#1072;\&#1058;&#1072;&#1088;&#1080;&#1092;&#1085;&#1086;&#1077;%20&#1088;&#1077;&#1075;&#1091;&#1083;&#1080;&#1088;&#1086;&#1074;&#1072;&#1085;&#1080;&#1077;\&#1056;&#1069;&#1050;\2022%20&#1088;&#1077;&#1075;&#1091;&#1083;&#1080;&#1088;&#1086;&#1074;&#1072;&#1085;&#1080;&#1077;\&#1048;&#1055;\&#1057;&#1074;&#1086;&#1076;&#1085;&#1072;&#1103;%20&#1048;&#1085;&#1074;&#1077;&#1089;&#1090;&#1080;&#1094;&#1080;&#1086;&#1085;&#1085;&#1072;&#1103;%20&#1087;&#1088;&#1086;&#1075;&#1088;&#1072;&#1084;&#1084;&#1072;%20&#1054;&#1073;&#1097;&#1077;&#1089;&#1090;&#1074;&#1072;%20&#1085;&#1072;%202020&#8211;2024%20&#1075;&#1075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0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09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0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2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3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4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72;&#1103;%20&#1048;&#1085;&#1074;&#1077;&#1089;&#1090;&#1080;&#1094;&#1080;&#1086;&#1085;&#1085;&#1072;&#1103;%20&#1087;&#1088;&#1086;&#1075;&#1088;&#1072;&#1084;&#1084;&#1072;%20&#1040;&#1069;&#1057;&#1073;%20&#1085;&#1072;%202020-2025%20&#1075;&#1075;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7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8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19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20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21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7;&#1059;\08.04.2022\&#1048;&#1055;_2023-2025_&#1086;&#1090;%2008.04.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_1_2022-2025_&#1082;&#1086;&#1088;&#1088;&#1077;&#1082;&#1090;&#1080;&#1088;&#1086;&#1074;&#1082;&#1072;_06.04.202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0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0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0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0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05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7;&#1086;%20&#1086;&#1090;&#1076;&#1077;&#1083;&#1072;&#1084;\&#1055;&#1083;&#1072;&#1085;&#1086;&#1074;&#1086;%20&#1101;&#1082;&#1086;&#1085;&#1086;&#1084;&#1080;&#1095;&#1077;&#1089;&#1082;&#1080;&#1081;%20&#1086;&#1090;&#1076;&#1077;&#1083;\&#1058;&#1072;&#1088;&#1080;&#1092;&#1085;&#1086;&#1077;%20&#1088;&#1077;&#1075;&#1091;&#1083;&#1080;&#1088;&#1086;&#1074;&#1072;&#1085;&#1080;&#1077;%202023\&#1048;&#1055;%202023-2025\&#1055;&#1072;&#1089;&#1087;&#1086;&#1088;&#1090;&#1072;%20&#1087;&#1088;&#1086;&#1077;&#1082;&#1090;&#1086;&#1074;%20&#1076;&#1083;&#1103;%20&#1056;&#1069;&#1050;\G0415_1027700050278_20_0_28_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П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12.6346266666667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6.9460133333333305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4.32089666666667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0.917274333333333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11.92997282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31.702660786666698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8.414267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7.24927174666667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7.460728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2.02149333333333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П"/>
    </sheetNames>
    <sheetDataSet>
      <sheetData sheetId="0">
        <row r="10">
          <cell r="H10">
            <v>1.05</v>
          </cell>
          <cell r="I10">
            <v>0.22</v>
          </cell>
          <cell r="K10">
            <v>1.27</v>
          </cell>
        </row>
        <row r="11">
          <cell r="I11">
            <v>0.18</v>
          </cell>
          <cell r="K11">
            <v>0.18</v>
          </cell>
        </row>
        <row r="12">
          <cell r="H12">
            <v>1.37</v>
          </cell>
          <cell r="I12">
            <v>0.71</v>
          </cell>
          <cell r="K12">
            <v>2.08</v>
          </cell>
        </row>
        <row r="13">
          <cell r="K13">
            <v>1.16</v>
          </cell>
        </row>
        <row r="14">
          <cell r="K14">
            <v>0.17</v>
          </cell>
        </row>
        <row r="23">
          <cell r="H23">
            <v>1.59</v>
          </cell>
          <cell r="I23">
            <v>29.87</v>
          </cell>
          <cell r="J23">
            <v>0.67</v>
          </cell>
          <cell r="K23">
            <v>32.13</v>
          </cell>
        </row>
        <row r="24">
          <cell r="H24">
            <v>2.73</v>
          </cell>
          <cell r="J24">
            <v>11.26</v>
          </cell>
          <cell r="K24">
            <v>13.99</v>
          </cell>
        </row>
        <row r="25">
          <cell r="H25">
            <v>2.71</v>
          </cell>
          <cell r="I25">
            <v>3.76</v>
          </cell>
          <cell r="J25">
            <v>0.98</v>
          </cell>
          <cell r="K25">
            <v>7.449999999999999</v>
          </cell>
        </row>
        <row r="26">
          <cell r="H26">
            <v>1.21</v>
          </cell>
          <cell r="J26">
            <v>3.55</v>
          </cell>
          <cell r="K26">
            <v>4.76</v>
          </cell>
        </row>
        <row r="27">
          <cell r="I27">
            <v>0.99</v>
          </cell>
          <cell r="K27">
            <v>0.99</v>
          </cell>
        </row>
        <row r="28">
          <cell r="I28">
            <v>6.45</v>
          </cell>
          <cell r="J28">
            <v>6.71</v>
          </cell>
          <cell r="K28">
            <v>13.16</v>
          </cell>
        </row>
        <row r="29">
          <cell r="I29">
            <v>25.71</v>
          </cell>
          <cell r="J29">
            <v>8.91</v>
          </cell>
          <cell r="K29">
            <v>34.620000000000005</v>
          </cell>
        </row>
        <row r="30">
          <cell r="J30">
            <v>9.46</v>
          </cell>
          <cell r="K30">
            <v>9.46</v>
          </cell>
        </row>
        <row r="31">
          <cell r="I31">
            <v>7.84</v>
          </cell>
          <cell r="K31">
            <v>7.84</v>
          </cell>
        </row>
        <row r="32">
          <cell r="J32">
            <v>8.39</v>
          </cell>
          <cell r="K32">
            <v>8.39</v>
          </cell>
        </row>
        <row r="33">
          <cell r="J33">
            <v>2.27</v>
          </cell>
          <cell r="K33">
            <v>2.27</v>
          </cell>
        </row>
        <row r="34">
          <cell r="J34">
            <v>0.66</v>
          </cell>
          <cell r="K34">
            <v>0.66</v>
          </cell>
        </row>
        <row r="35">
          <cell r="J35">
            <v>0.14</v>
          </cell>
          <cell r="K35">
            <v>0.14</v>
          </cell>
        </row>
        <row r="36">
          <cell r="J36">
            <v>0.35</v>
          </cell>
          <cell r="K36">
            <v>0.35</v>
          </cell>
        </row>
        <row r="61">
          <cell r="H61">
            <v>181.46</v>
          </cell>
          <cell r="I61">
            <v>208.88</v>
          </cell>
          <cell r="J61">
            <v>237.66</v>
          </cell>
          <cell r="K61">
            <v>628</v>
          </cell>
        </row>
        <row r="71">
          <cell r="H71">
            <v>151.92</v>
          </cell>
          <cell r="K71">
            <v>151.92</v>
          </cell>
        </row>
        <row r="97">
          <cell r="H97">
            <v>287.80833333333334</v>
          </cell>
          <cell r="I97">
            <v>237.175</v>
          </cell>
          <cell r="J97">
            <v>242.50833333333333</v>
          </cell>
          <cell r="K97">
            <v>767.4916666666667</v>
          </cell>
        </row>
        <row r="105">
          <cell r="H105">
            <v>345.37</v>
          </cell>
          <cell r="I105">
            <v>284.61</v>
          </cell>
          <cell r="J105">
            <v>291.01</v>
          </cell>
          <cell r="K105">
            <v>920.99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0.5887066666666669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0.12123766666666701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0.308393333333333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578.882255163198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146.07885974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6">
          <cell r="E6">
            <v>144.35610984848483</v>
          </cell>
          <cell r="F6">
            <v>900782.1254545454</v>
          </cell>
          <cell r="H6">
            <v>159.77405939393938</v>
          </cell>
          <cell r="I6">
            <v>1036869.7358429091</v>
          </cell>
          <cell r="K6">
            <v>174.80345848484848</v>
          </cell>
          <cell r="L6">
            <v>1179780.7051506035</v>
          </cell>
          <cell r="O6">
            <v>2.597860472040048</v>
          </cell>
          <cell r="P6">
            <v>2.873601766363636</v>
          </cell>
        </row>
        <row r="8">
          <cell r="E8">
            <v>9527.50325</v>
          </cell>
          <cell r="F8">
            <v>131288994.785</v>
          </cell>
          <cell r="H8">
            <v>10545.08792</v>
          </cell>
          <cell r="I8">
            <v>151123763.999104</v>
          </cell>
          <cell r="K8">
            <v>11537.02826</v>
          </cell>
          <cell r="L8">
            <v>171953037.77570048</v>
          </cell>
          <cell r="O8">
            <v>378.63816379983706</v>
          </cell>
          <cell r="P8">
            <v>418.82745744749997</v>
          </cell>
        </row>
        <row r="9">
          <cell r="E9">
            <v>28.87122196969697</v>
          </cell>
          <cell r="F9">
            <v>645560.5232424242</v>
          </cell>
          <cell r="H9">
            <v>31.954811878787876</v>
          </cell>
          <cell r="I9">
            <v>743089.9773540848</v>
          </cell>
          <cell r="K9">
            <v>34.9606916969697</v>
          </cell>
          <cell r="L9">
            <v>845509.5053579326</v>
          </cell>
          <cell r="O9">
            <v>1.8618000049620347</v>
          </cell>
          <cell r="P9">
            <v>2.0594145992272725</v>
          </cell>
        </row>
        <row r="10">
          <cell r="E10">
            <v>259.84099772727274</v>
          </cell>
          <cell r="F10">
            <v>5539810.071545455</v>
          </cell>
          <cell r="H10">
            <v>287.59330690909087</v>
          </cell>
          <cell r="I10">
            <v>6376748.87543389</v>
          </cell>
          <cell r="K10">
            <v>314.6462252727273</v>
          </cell>
          <cell r="L10">
            <v>7255651.336676213</v>
          </cell>
          <cell r="O10">
            <v>15.9768419030463</v>
          </cell>
          <cell r="P10">
            <v>17.67265086313636</v>
          </cell>
        </row>
        <row r="11">
          <cell r="E11">
            <v>144.35610984848483</v>
          </cell>
          <cell r="F11">
            <v>9803512.132030303</v>
          </cell>
          <cell r="H11">
            <v>159.77405939393938</v>
          </cell>
          <cell r="I11">
            <v>11284598.95842366</v>
          </cell>
          <cell r="K11">
            <v>174.80345848484848</v>
          </cell>
          <cell r="L11">
            <v>12839946.67438907</v>
          </cell>
          <cell r="O11">
            <v>28.273381470702528</v>
          </cell>
          <cell r="P11">
            <v>31.27436589059091</v>
          </cell>
        </row>
        <row r="12">
          <cell r="E12">
            <v>779.5229931818183</v>
          </cell>
          <cell r="F12">
            <v>621229.4371996298</v>
          </cell>
          <cell r="H12">
            <v>862.7799207272726</v>
          </cell>
          <cell r="I12">
            <v>715083.0197945829</v>
          </cell>
          <cell r="K12">
            <v>943.9386758181819</v>
          </cell>
          <cell r="L12">
            <v>813642.3700790626</v>
          </cell>
          <cell r="O12">
            <v>1.7916290225610625</v>
          </cell>
          <cell r="P12">
            <v>1.9817955503425733</v>
          </cell>
        </row>
        <row r="13">
          <cell r="F13">
            <v>0</v>
          </cell>
          <cell r="I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</row>
        <row r="16">
          <cell r="E16">
            <v>9527.50325</v>
          </cell>
          <cell r="F16">
            <v>24375164.3148</v>
          </cell>
          <cell r="H16">
            <v>10545.08792</v>
          </cell>
          <cell r="I16">
            <v>28057695.05190912</v>
          </cell>
          <cell r="K16">
            <v>11537.02826</v>
          </cell>
          <cell r="L16">
            <v>31924865.881375328</v>
          </cell>
          <cell r="O16">
            <v>70.29810437340372</v>
          </cell>
          <cell r="P16">
            <v>77.7596637978</v>
          </cell>
        </row>
        <row r="17">
          <cell r="E17">
            <v>28.87122196969697</v>
          </cell>
          <cell r="F17">
            <v>136918.8830690909</v>
          </cell>
          <cell r="H17">
            <v>31.954811878787876</v>
          </cell>
          <cell r="I17">
            <v>157604.19984812214</v>
          </cell>
          <cell r="K17">
            <v>34.9606916969697</v>
          </cell>
          <cell r="L17">
            <v>179326.66718289175</v>
          </cell>
          <cell r="O17">
            <v>0.39487479175008733</v>
          </cell>
          <cell r="P17">
            <v>0.43678746848727273</v>
          </cell>
        </row>
        <row r="18">
          <cell r="E18">
            <v>259.84099772727274</v>
          </cell>
          <cell r="F18">
            <v>1232269.9476218182</v>
          </cell>
          <cell r="H18">
            <v>287.59330690909087</v>
          </cell>
          <cell r="I18">
            <v>1418437.7986330993</v>
          </cell>
          <cell r="K18">
            <v>314.6462252727273</v>
          </cell>
          <cell r="L18">
            <v>1613940.0046460258</v>
          </cell>
          <cell r="O18">
            <v>3.5538731257507856</v>
          </cell>
          <cell r="P18">
            <v>3.931087216385454</v>
          </cell>
        </row>
        <row r="19">
          <cell r="E19">
            <v>144.35610984848483</v>
          </cell>
          <cell r="F19">
            <v>5554823.1069696965</v>
          </cell>
          <cell r="H19">
            <v>159.77405939393938</v>
          </cell>
          <cell r="I19">
            <v>6394030.037697938</v>
          </cell>
          <cell r="K19">
            <v>174.80345848484848</v>
          </cell>
          <cell r="L19">
            <v>7275314.348428721</v>
          </cell>
          <cell r="O19">
            <v>16.0201395775803</v>
          </cell>
          <cell r="P19">
            <v>17.72054422590909</v>
          </cell>
        </row>
        <row r="20">
          <cell r="E20">
            <v>779.5229931818183</v>
          </cell>
          <cell r="F20">
            <v>1361982.5736872728</v>
          </cell>
          <cell r="H20">
            <v>862.7799207272726</v>
          </cell>
          <cell r="I20">
            <v>1567747.0405944784</v>
          </cell>
          <cell r="K20">
            <v>943.9386758181819</v>
          </cell>
          <cell r="L20">
            <v>1783828.426187713</v>
          </cell>
          <cell r="O20">
            <v>3.9279650337245533</v>
          </cell>
          <cell r="P20">
            <v>4.344885870741818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У_2022_ИП"/>
      <sheetName val="2022"/>
      <sheetName val="2023-2025"/>
      <sheetName val="выручка АЦС_20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1.20624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0.170266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1.980246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1.12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0.161864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  <sheetName val="финплан"/>
    </sheetNames>
    <sheetDataSet>
      <sheetData sheetId="5">
        <row r="41">
          <cell r="B41">
            <v>29.74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D59"/>
  <sheetViews>
    <sheetView tabSelected="1" zoomScale="75" zoomScaleNormal="75" zoomScaleSheetLayoutView="61" zoomScalePageLayoutView="0" workbookViewId="0" topLeftCell="A9">
      <pane xSplit="5" ySplit="4" topLeftCell="F41" activePane="bottomRight" state="frozen"/>
      <selection pane="topLeft" activeCell="A9" sqref="A9"/>
      <selection pane="topRight" activeCell="F9" sqref="F9"/>
      <selection pane="bottomLeft" activeCell="A13" sqref="A13"/>
      <selection pane="bottomRight" activeCell="U46" sqref="U46"/>
    </sheetView>
  </sheetViews>
  <sheetFormatPr defaultColWidth="9.00390625" defaultRowHeight="12.75"/>
  <cols>
    <col min="1" max="1" width="12.125" style="1" customWidth="1"/>
    <col min="2" max="2" width="48.75390625" style="1" customWidth="1"/>
    <col min="3" max="3" width="17.25390625" style="1" customWidth="1"/>
    <col min="4" max="4" width="15.25390625" style="1" customWidth="1"/>
    <col min="5" max="5" width="17.625" style="1" customWidth="1"/>
    <col min="6" max="6" width="8.75390625" style="1" customWidth="1"/>
    <col min="7" max="7" width="18.00390625" style="1" customWidth="1"/>
    <col min="8" max="8" width="17.00390625" style="1" customWidth="1"/>
    <col min="9" max="9" width="20.125" style="1" customWidth="1"/>
    <col min="10" max="10" width="22.625" style="1" customWidth="1"/>
    <col min="11" max="11" width="16.75390625" style="1" bestFit="1" customWidth="1"/>
    <col min="12" max="12" width="7.00390625" style="1" customWidth="1"/>
    <col min="13" max="13" width="11.375" style="1" customWidth="1"/>
    <col min="14" max="14" width="17.875" style="51" customWidth="1"/>
    <col min="15" max="15" width="9.00390625" style="1" customWidth="1"/>
    <col min="16" max="16" width="14.375" style="1" bestFit="1" customWidth="1"/>
    <col min="17" max="17" width="8.25390625" style="1" customWidth="1"/>
    <col min="18" max="18" width="10.00390625" style="1" customWidth="1"/>
    <col min="19" max="19" width="14.625" style="51" customWidth="1"/>
    <col min="20" max="20" width="9.00390625" style="1" customWidth="1"/>
    <col min="21" max="21" width="12.625" style="1" customWidth="1"/>
    <col min="22" max="23" width="8.25390625" style="1" customWidth="1"/>
    <col min="24" max="24" width="18.00390625" style="51" customWidth="1"/>
    <col min="25" max="25" width="8.25390625" style="1" customWidth="1"/>
    <col min="26" max="26" width="13.375" style="1" customWidth="1"/>
    <col min="27" max="27" width="7.00390625" style="1" customWidth="1"/>
    <col min="28" max="28" width="10.875" style="1" customWidth="1"/>
    <col min="29" max="29" width="17.125" style="51" customWidth="1"/>
    <col min="30" max="30" width="8.375" style="1" customWidth="1"/>
    <col min="31" max="16384" width="9.125" style="1" customWidth="1"/>
  </cols>
  <sheetData>
    <row r="1" ht="18.75">
      <c r="AD1" s="2" t="s">
        <v>37</v>
      </c>
    </row>
    <row r="3" spans="1:25" ht="18.75">
      <c r="A3" s="168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"/>
      <c r="V3" s="16"/>
      <c r="W3" s="16"/>
      <c r="X3" s="55"/>
      <c r="Y3" s="16"/>
    </row>
    <row r="4" spans="1:30" ht="18.75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"/>
      <c r="V4" s="17"/>
      <c r="W4" s="17"/>
      <c r="X4" s="56"/>
      <c r="Y4" s="17"/>
      <c r="Z4" s="4"/>
      <c r="AA4" s="4"/>
      <c r="AB4" s="4"/>
      <c r="AC4" s="59"/>
      <c r="AD4" s="4"/>
    </row>
    <row r="5" spans="1:30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2"/>
      <c r="O5" s="5"/>
      <c r="P5" s="5"/>
      <c r="Q5" s="5"/>
      <c r="R5" s="5"/>
      <c r="S5" s="52"/>
      <c r="T5" s="5"/>
      <c r="U5" s="5"/>
      <c r="V5" s="5"/>
      <c r="W5" s="5"/>
      <c r="X5" s="52"/>
      <c r="Y5" s="5"/>
      <c r="Z5" s="4"/>
      <c r="AA5" s="4"/>
      <c r="AB5" s="4"/>
      <c r="AC5" s="59"/>
      <c r="AD5" s="4"/>
    </row>
    <row r="6" spans="1:30" ht="18.75">
      <c r="A6" s="170" t="s">
        <v>187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8"/>
      <c r="V6" s="18"/>
      <c r="W6" s="18"/>
      <c r="X6" s="57"/>
      <c r="Y6" s="18"/>
      <c r="Z6" s="6"/>
      <c r="AA6" s="6"/>
      <c r="AB6" s="6"/>
      <c r="AC6" s="60"/>
      <c r="AD6" s="6"/>
    </row>
    <row r="7" spans="1:30" ht="18.75" customHeight="1">
      <c r="A7" s="172" t="s">
        <v>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9"/>
      <c r="V7" s="19"/>
      <c r="W7" s="19"/>
      <c r="X7" s="58"/>
      <c r="Y7" s="19"/>
      <c r="Z7" s="7"/>
      <c r="AA7" s="7"/>
      <c r="AB7" s="7"/>
      <c r="AC7" s="61"/>
      <c r="AD7" s="7"/>
    </row>
    <row r="8" ht="15.75">
      <c r="I8" s="111"/>
    </row>
    <row r="9" spans="1:30" ht="78.75" customHeight="1">
      <c r="A9" s="155" t="s">
        <v>3</v>
      </c>
      <c r="B9" s="155" t="s">
        <v>4</v>
      </c>
      <c r="C9" s="155" t="s">
        <v>5</v>
      </c>
      <c r="D9" s="159" t="s">
        <v>6</v>
      </c>
      <c r="E9" s="155" t="s">
        <v>7</v>
      </c>
      <c r="F9" s="155" t="s">
        <v>8</v>
      </c>
      <c r="G9" s="155"/>
      <c r="H9" s="155"/>
      <c r="I9" s="155" t="s">
        <v>9</v>
      </c>
      <c r="J9" s="155" t="s">
        <v>10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:30" ht="85.5" customHeight="1">
      <c r="A10" s="155"/>
      <c r="B10" s="155"/>
      <c r="C10" s="155"/>
      <c r="D10" s="159"/>
      <c r="E10" s="155"/>
      <c r="F10" s="165" t="s">
        <v>11</v>
      </c>
      <c r="G10" s="166"/>
      <c r="H10" s="167"/>
      <c r="I10" s="155"/>
      <c r="J10" s="155"/>
      <c r="K10" s="165" t="s">
        <v>183</v>
      </c>
      <c r="L10" s="166"/>
      <c r="M10" s="166"/>
      <c r="N10" s="166"/>
      <c r="O10" s="167"/>
      <c r="P10" s="165" t="s">
        <v>170</v>
      </c>
      <c r="Q10" s="166"/>
      <c r="R10" s="166"/>
      <c r="S10" s="166"/>
      <c r="T10" s="167"/>
      <c r="U10" s="165" t="s">
        <v>184</v>
      </c>
      <c r="V10" s="166"/>
      <c r="W10" s="166"/>
      <c r="X10" s="166"/>
      <c r="Y10" s="167"/>
      <c r="Z10" s="165" t="s">
        <v>12</v>
      </c>
      <c r="AA10" s="166"/>
      <c r="AB10" s="166"/>
      <c r="AC10" s="166"/>
      <c r="AD10" s="167"/>
    </row>
    <row r="11" spans="1:30" ht="203.25" customHeight="1">
      <c r="A11" s="155"/>
      <c r="B11" s="155"/>
      <c r="C11" s="155"/>
      <c r="D11" s="159"/>
      <c r="E11" s="10" t="s">
        <v>13</v>
      </c>
      <c r="F11" s="9" t="s">
        <v>14</v>
      </c>
      <c r="G11" s="9" t="s">
        <v>15</v>
      </c>
      <c r="H11" s="9" t="s">
        <v>16</v>
      </c>
      <c r="I11" s="11" t="s">
        <v>11</v>
      </c>
      <c r="J11" s="9" t="s">
        <v>227</v>
      </c>
      <c r="K11" s="9" t="s">
        <v>17</v>
      </c>
      <c r="L11" s="9" t="s">
        <v>18</v>
      </c>
      <c r="M11" s="9" t="s">
        <v>19</v>
      </c>
      <c r="N11" s="53" t="s">
        <v>20</v>
      </c>
      <c r="O11" s="11" t="s">
        <v>21</v>
      </c>
      <c r="P11" s="9" t="s">
        <v>17</v>
      </c>
      <c r="Q11" s="9" t="s">
        <v>18</v>
      </c>
      <c r="R11" s="9" t="s">
        <v>19</v>
      </c>
      <c r="S11" s="53" t="s">
        <v>20</v>
      </c>
      <c r="T11" s="11" t="s">
        <v>21</v>
      </c>
      <c r="U11" s="9" t="s">
        <v>17</v>
      </c>
      <c r="V11" s="9" t="s">
        <v>18</v>
      </c>
      <c r="W11" s="9" t="s">
        <v>19</v>
      </c>
      <c r="X11" s="53" t="s">
        <v>20</v>
      </c>
      <c r="Y11" s="11" t="s">
        <v>21</v>
      </c>
      <c r="Z11" s="9" t="s">
        <v>17</v>
      </c>
      <c r="AA11" s="9" t="s">
        <v>18</v>
      </c>
      <c r="AB11" s="9" t="s">
        <v>19</v>
      </c>
      <c r="AC11" s="53" t="s">
        <v>20</v>
      </c>
      <c r="AD11" s="11" t="s">
        <v>21</v>
      </c>
    </row>
    <row r="12" spans="1:30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12" t="s">
        <v>22</v>
      </c>
      <c r="L12" s="12" t="s">
        <v>23</v>
      </c>
      <c r="M12" s="12" t="s">
        <v>24</v>
      </c>
      <c r="N12" s="54" t="s">
        <v>25</v>
      </c>
      <c r="O12" s="12" t="s">
        <v>26</v>
      </c>
      <c r="P12" s="12" t="s">
        <v>27</v>
      </c>
      <c r="Q12" s="12" t="s">
        <v>28</v>
      </c>
      <c r="R12" s="12" t="s">
        <v>29</v>
      </c>
      <c r="S12" s="54" t="s">
        <v>30</v>
      </c>
      <c r="T12" s="12" t="s">
        <v>31</v>
      </c>
      <c r="U12" s="12" t="s">
        <v>32</v>
      </c>
      <c r="V12" s="12" t="s">
        <v>33</v>
      </c>
      <c r="W12" s="12" t="s">
        <v>34</v>
      </c>
      <c r="X12" s="54" t="s">
        <v>35</v>
      </c>
      <c r="Y12" s="12" t="s">
        <v>36</v>
      </c>
      <c r="Z12" s="8">
        <v>12</v>
      </c>
      <c r="AA12" s="8">
        <v>13</v>
      </c>
      <c r="AB12" s="8">
        <v>14</v>
      </c>
      <c r="AC12" s="62">
        <v>15</v>
      </c>
      <c r="AD12" s="8">
        <v>16</v>
      </c>
    </row>
    <row r="13" spans="1:30" ht="31.5">
      <c r="A13" s="50">
        <v>1</v>
      </c>
      <c r="B13" s="106" t="s">
        <v>147</v>
      </c>
      <c r="C13" s="13"/>
      <c r="D13" s="72"/>
      <c r="E13" s="64"/>
      <c r="F13" s="13"/>
      <c r="G13" s="64"/>
      <c r="H13" s="7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1:30" ht="15.75">
      <c r="A14" s="99" t="s">
        <v>149</v>
      </c>
      <c r="B14" s="109" t="s">
        <v>188</v>
      </c>
      <c r="C14" s="127" t="s">
        <v>192</v>
      </c>
      <c r="D14" s="113">
        <v>2023</v>
      </c>
      <c r="E14" s="113">
        <v>2024</v>
      </c>
      <c r="F14" s="102"/>
      <c r="G14" s="102">
        <f>'[4]6. Отчет о ходе реализации ИП'!$B$41</f>
        <v>1.20624</v>
      </c>
      <c r="H14" s="115"/>
      <c r="I14" s="102">
        <f>'[2]ИП'!$K10</f>
        <v>1.27</v>
      </c>
      <c r="J14" s="102">
        <f>I14</f>
        <v>1.27</v>
      </c>
      <c r="K14" s="102">
        <f>SUM(L14:O14)</f>
        <v>1.05</v>
      </c>
      <c r="L14" s="102"/>
      <c r="M14" s="102"/>
      <c r="N14" s="102">
        <f>'[2]ИП'!$H$10</f>
        <v>1.05</v>
      </c>
      <c r="O14" s="102"/>
      <c r="P14" s="102">
        <f>SUM(Q14:T14)</f>
        <v>0.22</v>
      </c>
      <c r="Q14" s="102"/>
      <c r="R14" s="102"/>
      <c r="S14" s="102">
        <f>'[2]ИП'!$I10</f>
        <v>0.22</v>
      </c>
      <c r="T14" s="102"/>
      <c r="U14" s="102">
        <f>SUM(V14:Y14)</f>
        <v>0</v>
      </c>
      <c r="V14" s="102"/>
      <c r="W14" s="102"/>
      <c r="X14" s="102">
        <v>0</v>
      </c>
      <c r="Y14" s="102"/>
      <c r="Z14" s="147">
        <f>AC14</f>
        <v>1.27</v>
      </c>
      <c r="AA14" s="102"/>
      <c r="AB14" s="102"/>
      <c r="AC14" s="102">
        <f>N14+S14+X14</f>
        <v>1.27</v>
      </c>
      <c r="AD14" s="102"/>
    </row>
    <row r="15" spans="1:30" ht="15.75">
      <c r="A15" s="99" t="s">
        <v>126</v>
      </c>
      <c r="B15" s="103" t="s">
        <v>189</v>
      </c>
      <c r="C15" s="127" t="s">
        <v>193</v>
      </c>
      <c r="D15" s="113">
        <v>2024</v>
      </c>
      <c r="E15" s="113">
        <v>2024</v>
      </c>
      <c r="F15" s="102"/>
      <c r="G15" s="102">
        <f>'[5]6. Отчет о ходе реализации ИП'!$B$41</f>
        <v>0.170266</v>
      </c>
      <c r="H15" s="115"/>
      <c r="I15" s="102">
        <f>'[2]ИП'!$K11</f>
        <v>0.18</v>
      </c>
      <c r="J15" s="102">
        <f>I15</f>
        <v>0.18</v>
      </c>
      <c r="K15" s="102">
        <f>SUM(L15:O15)</f>
        <v>0</v>
      </c>
      <c r="L15" s="102"/>
      <c r="M15" s="102"/>
      <c r="N15" s="102">
        <v>0</v>
      </c>
      <c r="O15" s="102"/>
      <c r="P15" s="102">
        <f>SUM(Q15:T15)</f>
        <v>0.18</v>
      </c>
      <c r="Q15" s="102"/>
      <c r="R15" s="102"/>
      <c r="S15" s="102">
        <f>'[2]ИП'!$I11</f>
        <v>0.18</v>
      </c>
      <c r="T15" s="102"/>
      <c r="U15" s="102">
        <f>SUM(V15:Y15)</f>
        <v>0</v>
      </c>
      <c r="V15" s="102"/>
      <c r="W15" s="102"/>
      <c r="X15" s="102">
        <v>0</v>
      </c>
      <c r="Y15" s="102"/>
      <c r="Z15" s="102">
        <f>AC15</f>
        <v>0.18</v>
      </c>
      <c r="AA15" s="102"/>
      <c r="AB15" s="102"/>
      <c r="AC15" s="102">
        <f>N15+S15+X15</f>
        <v>0.18</v>
      </c>
      <c r="AD15" s="102"/>
    </row>
    <row r="16" spans="1:30" ht="15.75">
      <c r="A16" s="99" t="s">
        <v>150</v>
      </c>
      <c r="B16" s="103" t="s">
        <v>172</v>
      </c>
      <c r="C16" s="101" t="s">
        <v>194</v>
      </c>
      <c r="D16" s="113">
        <v>2023</v>
      </c>
      <c r="E16" s="113">
        <v>2024</v>
      </c>
      <c r="F16" s="102"/>
      <c r="G16" s="102">
        <f>'[6]6. Отчет о ходе реализации ИП'!$B$41</f>
        <v>1.980246</v>
      </c>
      <c r="H16" s="115"/>
      <c r="I16" s="102">
        <f>'[2]ИП'!$K12</f>
        <v>2.08</v>
      </c>
      <c r="J16" s="102">
        <f>I16</f>
        <v>2.08</v>
      </c>
      <c r="K16" s="102">
        <f>SUM(L16:O16)</f>
        <v>1.37</v>
      </c>
      <c r="L16" s="102"/>
      <c r="M16" s="102"/>
      <c r="N16" s="102">
        <f>'[2]ИП'!$H$12</f>
        <v>1.37</v>
      </c>
      <c r="O16" s="102"/>
      <c r="P16" s="102">
        <f>SUM(Q16:T16)</f>
        <v>0.71</v>
      </c>
      <c r="Q16" s="102"/>
      <c r="R16" s="102"/>
      <c r="S16" s="102">
        <f>'[2]ИП'!$I12</f>
        <v>0.71</v>
      </c>
      <c r="T16" s="102"/>
      <c r="U16" s="102">
        <f>SUM(V16:Y16)</f>
        <v>0</v>
      </c>
      <c r="V16" s="102"/>
      <c r="W16" s="102"/>
      <c r="X16" s="102">
        <v>0</v>
      </c>
      <c r="Y16" s="102"/>
      <c r="Z16" s="102">
        <f>AC16</f>
        <v>2.08</v>
      </c>
      <c r="AA16" s="102"/>
      <c r="AB16" s="102"/>
      <c r="AC16" s="102">
        <f>N16+S16+X16</f>
        <v>2.08</v>
      </c>
      <c r="AD16" s="102"/>
    </row>
    <row r="17" spans="1:30" ht="15.75">
      <c r="A17" s="99" t="s">
        <v>151</v>
      </c>
      <c r="B17" s="103" t="s">
        <v>190</v>
      </c>
      <c r="C17" s="101" t="s">
        <v>195</v>
      </c>
      <c r="D17" s="113">
        <v>2023</v>
      </c>
      <c r="E17" s="113">
        <v>2023</v>
      </c>
      <c r="F17" s="100"/>
      <c r="G17" s="102">
        <f>'[7]6. Отчет о ходе реализации ИП'!$B$41</f>
        <v>1.12</v>
      </c>
      <c r="H17" s="115"/>
      <c r="I17" s="102">
        <f>'[2]ИП'!$K13</f>
        <v>1.16</v>
      </c>
      <c r="J17" s="102">
        <f>I17</f>
        <v>1.16</v>
      </c>
      <c r="K17" s="102">
        <f>SUM(L17:O17)</f>
        <v>1.16</v>
      </c>
      <c r="L17" s="102"/>
      <c r="M17" s="102"/>
      <c r="N17" s="102">
        <f>J17</f>
        <v>1.16</v>
      </c>
      <c r="O17" s="102"/>
      <c r="P17" s="102">
        <f>SUM(Q17:T17)</f>
        <v>0</v>
      </c>
      <c r="Q17" s="102"/>
      <c r="R17" s="102"/>
      <c r="S17" s="102">
        <v>0</v>
      </c>
      <c r="T17" s="102"/>
      <c r="U17" s="102">
        <f>SUM(V17:Y17)</f>
        <v>0</v>
      </c>
      <c r="V17" s="102"/>
      <c r="W17" s="102"/>
      <c r="X17" s="102">
        <v>0</v>
      </c>
      <c r="Y17" s="102"/>
      <c r="Z17" s="102">
        <f>K17+P17+U17</f>
        <v>1.16</v>
      </c>
      <c r="AA17" s="102"/>
      <c r="AB17" s="102"/>
      <c r="AC17" s="102">
        <f>N17+S17+X17</f>
        <v>1.16</v>
      </c>
      <c r="AD17" s="100"/>
    </row>
    <row r="18" spans="1:30" ht="20.25" customHeight="1">
      <c r="A18" s="99" t="s">
        <v>152</v>
      </c>
      <c r="B18" s="103" t="s">
        <v>191</v>
      </c>
      <c r="C18" s="101" t="s">
        <v>196</v>
      </c>
      <c r="D18" s="113">
        <v>2023</v>
      </c>
      <c r="E18" s="112">
        <v>2023</v>
      </c>
      <c r="F18" s="102"/>
      <c r="G18" s="102">
        <f>'[8]6. Отчет о ходе реализации ИП'!$B$41</f>
        <v>0.161864</v>
      </c>
      <c r="H18" s="115"/>
      <c r="I18" s="102">
        <f>'[2]ИП'!$K14</f>
        <v>0.17</v>
      </c>
      <c r="J18" s="102">
        <f>I18</f>
        <v>0.17</v>
      </c>
      <c r="K18" s="102">
        <f>SUM(L18:O18)</f>
        <v>0.17</v>
      </c>
      <c r="L18" s="102"/>
      <c r="M18" s="102"/>
      <c r="N18" s="102">
        <f>J18</f>
        <v>0.17</v>
      </c>
      <c r="O18" s="102"/>
      <c r="P18" s="102">
        <f>SUM(Q18:T18)</f>
        <v>0</v>
      </c>
      <c r="Q18" s="102"/>
      <c r="R18" s="102"/>
      <c r="S18" s="102">
        <v>0</v>
      </c>
      <c r="T18" s="102"/>
      <c r="U18" s="102">
        <f>SUM(V18:Y18)</f>
        <v>0</v>
      </c>
      <c r="V18" s="102"/>
      <c r="W18" s="102"/>
      <c r="X18" s="102">
        <v>0</v>
      </c>
      <c r="Y18" s="102"/>
      <c r="Z18" s="102">
        <f>AC18</f>
        <v>0.17</v>
      </c>
      <c r="AA18" s="102"/>
      <c r="AB18" s="102"/>
      <c r="AC18" s="102">
        <f>N18+S18+X18</f>
        <v>0.17</v>
      </c>
      <c r="AD18" s="102"/>
    </row>
    <row r="19" spans="1:30" s="97" customFormat="1" ht="15.75">
      <c r="A19" s="116">
        <v>2</v>
      </c>
      <c r="B19" s="106" t="s">
        <v>148</v>
      </c>
      <c r="C19" s="101"/>
      <c r="D19" s="114"/>
      <c r="E19" s="114"/>
      <c r="F19" s="107"/>
      <c r="G19" s="102"/>
      <c r="H19" s="115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7"/>
    </row>
    <row r="20" spans="1:30" ht="15.75" customHeight="1">
      <c r="A20" s="12" t="s">
        <v>69</v>
      </c>
      <c r="B20" s="109" t="s">
        <v>197</v>
      </c>
      <c r="C20" s="101" t="s">
        <v>210</v>
      </c>
      <c r="D20" s="113">
        <v>2023</v>
      </c>
      <c r="E20" s="113">
        <v>2025</v>
      </c>
      <c r="F20" s="102"/>
      <c r="G20" s="102">
        <f>'[9]6. Отчет о ходе реализации ИП'!$B$41</f>
        <v>29.74</v>
      </c>
      <c r="H20" s="115"/>
      <c r="I20" s="102">
        <f>'[2]ИП'!$K23</f>
        <v>32.13</v>
      </c>
      <c r="J20" s="102">
        <f>I20</f>
        <v>32.13</v>
      </c>
      <c r="K20" s="102">
        <f aca="true" t="shared" si="0" ref="K20:K43">SUM(L20:O20)</f>
        <v>1.59</v>
      </c>
      <c r="L20" s="102"/>
      <c r="M20" s="102"/>
      <c r="N20" s="102">
        <f>'[2]ИП'!$H23</f>
        <v>1.59</v>
      </c>
      <c r="O20" s="102"/>
      <c r="P20" s="102">
        <f>SUM(Q20:T20)</f>
        <v>29.87</v>
      </c>
      <c r="Q20" s="102"/>
      <c r="R20" s="102"/>
      <c r="S20" s="102">
        <f>'[2]ИП'!$I23</f>
        <v>29.87</v>
      </c>
      <c r="T20" s="102"/>
      <c r="U20" s="102">
        <f>SUM(V20:Y20)</f>
        <v>0.67</v>
      </c>
      <c r="V20" s="102"/>
      <c r="W20" s="102"/>
      <c r="X20" s="102">
        <f>'[2]ИП'!$J23</f>
        <v>0.67</v>
      </c>
      <c r="Y20" s="102"/>
      <c r="Z20" s="102">
        <f>AC20</f>
        <v>32.13</v>
      </c>
      <c r="AA20" s="102"/>
      <c r="AB20" s="102"/>
      <c r="AC20" s="102">
        <f>N20+S20+X20</f>
        <v>32.13</v>
      </c>
      <c r="AD20" s="102"/>
    </row>
    <row r="21" spans="1:30" ht="15.75" customHeight="1">
      <c r="A21" s="12" t="s">
        <v>71</v>
      </c>
      <c r="B21" s="109" t="s">
        <v>198</v>
      </c>
      <c r="C21" s="101" t="s">
        <v>211</v>
      </c>
      <c r="D21" s="113">
        <v>2023</v>
      </c>
      <c r="E21" s="113">
        <v>2025</v>
      </c>
      <c r="F21" s="102"/>
      <c r="G21" s="102">
        <f>'[10]6. Отчет о ходе реализации ИП'!$B$41</f>
        <v>12.6346266666667</v>
      </c>
      <c r="H21" s="115"/>
      <c r="I21" s="102">
        <f>'[2]ИП'!$K24</f>
        <v>13.99</v>
      </c>
      <c r="J21" s="102">
        <f aca="true" t="shared" si="1" ref="J21:J31">I21</f>
        <v>13.99</v>
      </c>
      <c r="K21" s="102">
        <f t="shared" si="0"/>
        <v>2.73</v>
      </c>
      <c r="L21" s="102"/>
      <c r="M21" s="102"/>
      <c r="N21" s="102">
        <f>'[2]ИП'!$H24</f>
        <v>2.73</v>
      </c>
      <c r="O21" s="102"/>
      <c r="P21" s="102">
        <f aca="true" t="shared" si="2" ref="P21:P31">SUM(Q21:T21)</f>
        <v>0</v>
      </c>
      <c r="Q21" s="102"/>
      <c r="R21" s="102"/>
      <c r="S21" s="102">
        <f>'[2]ИП'!$I24</f>
        <v>0</v>
      </c>
      <c r="T21" s="102"/>
      <c r="U21" s="102">
        <f>SUM(V21:Y21)</f>
        <v>11.26</v>
      </c>
      <c r="V21" s="102"/>
      <c r="W21" s="102"/>
      <c r="X21" s="102">
        <f>'[2]ИП'!$J24</f>
        <v>11.26</v>
      </c>
      <c r="Y21" s="102"/>
      <c r="Z21" s="102">
        <f aca="true" t="shared" si="3" ref="Z21:Z31">AC21</f>
        <v>13.99</v>
      </c>
      <c r="AA21" s="102"/>
      <c r="AB21" s="102"/>
      <c r="AC21" s="102">
        <f aca="true" t="shared" si="4" ref="AC21:AC31">N21+S21+X21</f>
        <v>13.99</v>
      </c>
      <c r="AD21" s="102"/>
    </row>
    <row r="22" spans="1:30" ht="48.75" customHeight="1">
      <c r="A22" s="12" t="s">
        <v>73</v>
      </c>
      <c r="B22" s="109" t="s">
        <v>199</v>
      </c>
      <c r="C22" s="101" t="s">
        <v>212</v>
      </c>
      <c r="D22" s="113">
        <v>2023</v>
      </c>
      <c r="E22" s="113">
        <v>2025</v>
      </c>
      <c r="F22" s="102"/>
      <c r="G22" s="102">
        <f>'[11]6. Отчет о ходе реализации ИП'!$B$41</f>
        <v>6.9460133333333305</v>
      </c>
      <c r="H22" s="115"/>
      <c r="I22" s="102">
        <f>'[2]ИП'!$K25</f>
        <v>7.449999999999999</v>
      </c>
      <c r="J22" s="102">
        <f t="shared" si="1"/>
        <v>7.449999999999999</v>
      </c>
      <c r="K22" s="102">
        <f t="shared" si="0"/>
        <v>2.71</v>
      </c>
      <c r="L22" s="102"/>
      <c r="M22" s="102"/>
      <c r="N22" s="102">
        <f>'[2]ИП'!$H25</f>
        <v>2.71</v>
      </c>
      <c r="O22" s="102"/>
      <c r="P22" s="102">
        <f t="shared" si="2"/>
        <v>3.76</v>
      </c>
      <c r="Q22" s="102"/>
      <c r="R22" s="102"/>
      <c r="S22" s="102">
        <f>'[2]ИП'!$I25</f>
        <v>3.76</v>
      </c>
      <c r="T22" s="102"/>
      <c r="U22" s="102">
        <f aca="true" t="shared" si="5" ref="U22:U30">SUM(V22:Y22)</f>
        <v>0.98</v>
      </c>
      <c r="V22" s="102"/>
      <c r="W22" s="102"/>
      <c r="X22" s="102">
        <f>'[2]ИП'!$J25</f>
        <v>0.98</v>
      </c>
      <c r="Y22" s="102"/>
      <c r="Z22" s="102">
        <f t="shared" si="3"/>
        <v>7.449999999999999</v>
      </c>
      <c r="AA22" s="102"/>
      <c r="AB22" s="102"/>
      <c r="AC22" s="102">
        <f t="shared" si="4"/>
        <v>7.449999999999999</v>
      </c>
      <c r="AD22" s="102"/>
    </row>
    <row r="23" spans="1:30" ht="21.75" customHeight="1">
      <c r="A23" s="12" t="s">
        <v>75</v>
      </c>
      <c r="B23" s="109" t="s">
        <v>200</v>
      </c>
      <c r="C23" s="101" t="s">
        <v>213</v>
      </c>
      <c r="D23" s="113">
        <v>2023</v>
      </c>
      <c r="E23" s="113">
        <v>2025</v>
      </c>
      <c r="F23" s="102"/>
      <c r="G23" s="102">
        <f>'[12]6. Отчет о ходе реализации ИП'!$B$41</f>
        <v>4.32089666666667</v>
      </c>
      <c r="H23" s="115"/>
      <c r="I23" s="102">
        <f>'[2]ИП'!$K26</f>
        <v>4.76</v>
      </c>
      <c r="J23" s="102">
        <f t="shared" si="1"/>
        <v>4.76</v>
      </c>
      <c r="K23" s="102">
        <f t="shared" si="0"/>
        <v>1.21</v>
      </c>
      <c r="L23" s="102"/>
      <c r="M23" s="102"/>
      <c r="N23" s="102">
        <f>'[2]ИП'!$H26</f>
        <v>1.21</v>
      </c>
      <c r="O23" s="102"/>
      <c r="P23" s="102">
        <f t="shared" si="2"/>
        <v>0</v>
      </c>
      <c r="Q23" s="102"/>
      <c r="R23" s="102"/>
      <c r="S23" s="102">
        <f>'[2]ИП'!$I26</f>
        <v>0</v>
      </c>
      <c r="T23" s="102"/>
      <c r="U23" s="102">
        <f t="shared" si="5"/>
        <v>3.55</v>
      </c>
      <c r="V23" s="102"/>
      <c r="W23" s="102"/>
      <c r="X23" s="102">
        <f>'[2]ИП'!$J26</f>
        <v>3.55</v>
      </c>
      <c r="Y23" s="102"/>
      <c r="Z23" s="102">
        <f t="shared" si="3"/>
        <v>4.76</v>
      </c>
      <c r="AA23" s="102"/>
      <c r="AB23" s="102"/>
      <c r="AC23" s="102">
        <f t="shared" si="4"/>
        <v>4.76</v>
      </c>
      <c r="AD23" s="102"/>
    </row>
    <row r="24" spans="1:30" ht="39.75" customHeight="1">
      <c r="A24" s="12" t="s">
        <v>77</v>
      </c>
      <c r="B24" s="109" t="s">
        <v>173</v>
      </c>
      <c r="C24" s="101" t="s">
        <v>214</v>
      </c>
      <c r="D24" s="113">
        <v>2024</v>
      </c>
      <c r="E24" s="113">
        <v>2024</v>
      </c>
      <c r="F24" s="102"/>
      <c r="G24" s="102">
        <f>'[13]6. Отчет о ходе реализации ИП'!$B$41</f>
        <v>0.917274333333333</v>
      </c>
      <c r="H24" s="115"/>
      <c r="I24" s="102">
        <f>'[2]ИП'!$K27</f>
        <v>0.99</v>
      </c>
      <c r="J24" s="102">
        <f t="shared" si="1"/>
        <v>0.99</v>
      </c>
      <c r="K24" s="102">
        <f t="shared" si="0"/>
        <v>0</v>
      </c>
      <c r="L24" s="102"/>
      <c r="M24" s="102"/>
      <c r="N24" s="102">
        <v>0</v>
      </c>
      <c r="O24" s="102"/>
      <c r="P24" s="102">
        <f t="shared" si="2"/>
        <v>0.99</v>
      </c>
      <c r="Q24" s="102"/>
      <c r="R24" s="102"/>
      <c r="S24" s="102">
        <f>'[2]ИП'!$I27</f>
        <v>0.99</v>
      </c>
      <c r="T24" s="102"/>
      <c r="U24" s="102">
        <f t="shared" si="5"/>
        <v>0</v>
      </c>
      <c r="V24" s="102"/>
      <c r="W24" s="102"/>
      <c r="X24" s="102">
        <f>'[1]ИП'!$I29</f>
        <v>0</v>
      </c>
      <c r="Y24" s="102"/>
      <c r="Z24" s="102">
        <f t="shared" si="3"/>
        <v>0.99</v>
      </c>
      <c r="AA24" s="102"/>
      <c r="AB24" s="102"/>
      <c r="AC24" s="102">
        <f t="shared" si="4"/>
        <v>0.99</v>
      </c>
      <c r="AD24" s="102"/>
    </row>
    <row r="25" spans="1:30" ht="33.75" customHeight="1">
      <c r="A25" s="12" t="s">
        <v>82</v>
      </c>
      <c r="B25" s="109" t="s">
        <v>201</v>
      </c>
      <c r="C25" s="101" t="s">
        <v>215</v>
      </c>
      <c r="D25" s="113">
        <v>2024</v>
      </c>
      <c r="E25" s="113">
        <v>2025</v>
      </c>
      <c r="F25" s="102"/>
      <c r="G25" s="102">
        <f>'[14]6. Отчет о ходе реализации ИП'!$B$41</f>
        <v>11.92997282</v>
      </c>
      <c r="H25" s="115"/>
      <c r="I25" s="102">
        <f>'[2]ИП'!$K28</f>
        <v>13.16</v>
      </c>
      <c r="J25" s="102">
        <f t="shared" si="1"/>
        <v>13.16</v>
      </c>
      <c r="K25" s="102">
        <f t="shared" si="0"/>
        <v>0</v>
      </c>
      <c r="L25" s="102"/>
      <c r="M25" s="102"/>
      <c r="N25" s="102">
        <v>0</v>
      </c>
      <c r="O25" s="102"/>
      <c r="P25" s="102">
        <f t="shared" si="2"/>
        <v>6.45</v>
      </c>
      <c r="Q25" s="102"/>
      <c r="R25" s="102"/>
      <c r="S25" s="102">
        <f>'[2]ИП'!$I28</f>
        <v>6.45</v>
      </c>
      <c r="T25" s="102"/>
      <c r="U25" s="102">
        <f t="shared" si="5"/>
        <v>6.71</v>
      </c>
      <c r="V25" s="102"/>
      <c r="W25" s="102"/>
      <c r="X25" s="102">
        <f>'[2]ИП'!$J28</f>
        <v>6.71</v>
      </c>
      <c r="Y25" s="102"/>
      <c r="Z25" s="102">
        <f t="shared" si="3"/>
        <v>13.16</v>
      </c>
      <c r="AA25" s="102"/>
      <c r="AB25" s="102"/>
      <c r="AC25" s="102">
        <f t="shared" si="4"/>
        <v>13.16</v>
      </c>
      <c r="AD25" s="102"/>
    </row>
    <row r="26" spans="1:30" ht="31.5" customHeight="1">
      <c r="A26" s="12" t="s">
        <v>84</v>
      </c>
      <c r="B26" s="109" t="s">
        <v>202</v>
      </c>
      <c r="C26" s="101" t="s">
        <v>216</v>
      </c>
      <c r="D26" s="112">
        <v>2024</v>
      </c>
      <c r="E26" s="113">
        <v>2025</v>
      </c>
      <c r="F26" s="102"/>
      <c r="G26" s="102">
        <f>'[15]6. Отчет о ходе реализации ИП'!$B$41</f>
        <v>31.702660786666698</v>
      </c>
      <c r="H26" s="115"/>
      <c r="I26" s="102">
        <f>'[2]ИП'!$K29</f>
        <v>34.620000000000005</v>
      </c>
      <c r="J26" s="102">
        <f t="shared" si="1"/>
        <v>34.620000000000005</v>
      </c>
      <c r="K26" s="102">
        <f t="shared" si="0"/>
        <v>0</v>
      </c>
      <c r="L26" s="102"/>
      <c r="M26" s="102"/>
      <c r="N26" s="102">
        <v>0</v>
      </c>
      <c r="O26" s="102"/>
      <c r="P26" s="102">
        <f t="shared" si="2"/>
        <v>25.71</v>
      </c>
      <c r="Q26" s="102"/>
      <c r="R26" s="102"/>
      <c r="S26" s="102">
        <f>'[2]ИП'!$I29</f>
        <v>25.71</v>
      </c>
      <c r="T26" s="102"/>
      <c r="U26" s="102">
        <f t="shared" si="5"/>
        <v>8.91</v>
      </c>
      <c r="V26" s="102"/>
      <c r="W26" s="102"/>
      <c r="X26" s="102">
        <f>'[2]ИП'!$J29</f>
        <v>8.91</v>
      </c>
      <c r="Y26" s="102"/>
      <c r="Z26" s="102">
        <f t="shared" si="3"/>
        <v>34.620000000000005</v>
      </c>
      <c r="AA26" s="102"/>
      <c r="AB26" s="102"/>
      <c r="AC26" s="102">
        <f t="shared" si="4"/>
        <v>34.620000000000005</v>
      </c>
      <c r="AD26" s="102"/>
    </row>
    <row r="27" spans="1:30" ht="24" customHeight="1">
      <c r="A27" s="12" t="s">
        <v>174</v>
      </c>
      <c r="B27" s="109" t="s">
        <v>203</v>
      </c>
      <c r="C27" s="101" t="s">
        <v>217</v>
      </c>
      <c r="D27" s="112">
        <v>2025</v>
      </c>
      <c r="E27" s="112">
        <v>2025</v>
      </c>
      <c r="F27" s="102"/>
      <c r="G27" s="102">
        <f>'[16]6. Отчет о ходе реализации ИП'!$B$41</f>
        <v>8.414267</v>
      </c>
      <c r="H27" s="115"/>
      <c r="I27" s="102">
        <f>'[2]ИП'!$K30</f>
        <v>9.46</v>
      </c>
      <c r="J27" s="102">
        <f t="shared" si="1"/>
        <v>9.46</v>
      </c>
      <c r="K27" s="102">
        <f t="shared" si="0"/>
        <v>0</v>
      </c>
      <c r="L27" s="102"/>
      <c r="M27" s="102"/>
      <c r="N27" s="102">
        <v>0</v>
      </c>
      <c r="O27" s="102"/>
      <c r="P27" s="102">
        <f t="shared" si="2"/>
        <v>0</v>
      </c>
      <c r="Q27" s="102"/>
      <c r="R27" s="102"/>
      <c r="S27" s="102">
        <f>'[1]ИП'!$H32</f>
        <v>0</v>
      </c>
      <c r="T27" s="102"/>
      <c r="U27" s="102">
        <f t="shared" si="5"/>
        <v>9.46</v>
      </c>
      <c r="V27" s="102"/>
      <c r="W27" s="102"/>
      <c r="X27" s="102">
        <f>'[2]ИП'!$J30</f>
        <v>9.46</v>
      </c>
      <c r="Y27" s="102"/>
      <c r="Z27" s="102">
        <f t="shared" si="3"/>
        <v>9.46</v>
      </c>
      <c r="AA27" s="102"/>
      <c r="AB27" s="102"/>
      <c r="AC27" s="102">
        <f t="shared" si="4"/>
        <v>9.46</v>
      </c>
      <c r="AD27" s="102"/>
    </row>
    <row r="28" spans="1:30" ht="24" customHeight="1">
      <c r="A28" s="12" t="s">
        <v>175</v>
      </c>
      <c r="B28" s="109" t="s">
        <v>204</v>
      </c>
      <c r="C28" s="101" t="s">
        <v>218</v>
      </c>
      <c r="D28" s="112">
        <v>2024</v>
      </c>
      <c r="E28" s="112">
        <v>2024</v>
      </c>
      <c r="F28" s="102"/>
      <c r="G28" s="102">
        <f>'[17]6. Отчет о ходе реализации ИП'!$B$41</f>
        <v>7.24927174666667</v>
      </c>
      <c r="H28" s="115"/>
      <c r="I28" s="102">
        <f>'[2]ИП'!$K31</f>
        <v>7.84</v>
      </c>
      <c r="J28" s="102">
        <f t="shared" si="1"/>
        <v>7.84</v>
      </c>
      <c r="K28" s="102">
        <f t="shared" si="0"/>
        <v>0</v>
      </c>
      <c r="L28" s="102"/>
      <c r="M28" s="102"/>
      <c r="N28" s="102">
        <v>0</v>
      </c>
      <c r="O28" s="102"/>
      <c r="P28" s="102">
        <f t="shared" si="2"/>
        <v>7.84</v>
      </c>
      <c r="Q28" s="102"/>
      <c r="R28" s="102"/>
      <c r="S28" s="102">
        <f>'[2]ИП'!$I31</f>
        <v>7.84</v>
      </c>
      <c r="T28" s="102"/>
      <c r="U28" s="102">
        <f t="shared" si="5"/>
        <v>0</v>
      </c>
      <c r="V28" s="102"/>
      <c r="W28" s="102"/>
      <c r="X28" s="102">
        <v>0</v>
      </c>
      <c r="Y28" s="102"/>
      <c r="Z28" s="102">
        <f t="shared" si="3"/>
        <v>7.84</v>
      </c>
      <c r="AA28" s="102"/>
      <c r="AB28" s="102"/>
      <c r="AC28" s="102">
        <f t="shared" si="4"/>
        <v>7.84</v>
      </c>
      <c r="AD28" s="102"/>
    </row>
    <row r="29" spans="1:30" ht="28.5" customHeight="1">
      <c r="A29" s="12" t="s">
        <v>176</v>
      </c>
      <c r="B29" s="109" t="s">
        <v>205</v>
      </c>
      <c r="C29" s="101" t="s">
        <v>219</v>
      </c>
      <c r="D29" s="112">
        <v>2025</v>
      </c>
      <c r="E29" s="112">
        <v>2025</v>
      </c>
      <c r="F29" s="102"/>
      <c r="G29" s="102">
        <f>'[18]6. Отчет о ходе реализации ИП'!$B$41</f>
        <v>7.460728</v>
      </c>
      <c r="H29" s="115"/>
      <c r="I29" s="102">
        <f>'[2]ИП'!$K32</f>
        <v>8.39</v>
      </c>
      <c r="J29" s="102">
        <f t="shared" si="1"/>
        <v>8.39</v>
      </c>
      <c r="K29" s="102">
        <f t="shared" si="0"/>
        <v>0</v>
      </c>
      <c r="L29" s="102"/>
      <c r="M29" s="102"/>
      <c r="N29" s="102">
        <v>0</v>
      </c>
      <c r="O29" s="102"/>
      <c r="P29" s="102">
        <f t="shared" si="2"/>
        <v>0</v>
      </c>
      <c r="Q29" s="102"/>
      <c r="R29" s="102"/>
      <c r="S29" s="102">
        <f>'[1]ИП'!$H34</f>
        <v>0</v>
      </c>
      <c r="T29" s="102"/>
      <c r="U29" s="102">
        <f t="shared" si="5"/>
        <v>8.39</v>
      </c>
      <c r="V29" s="102"/>
      <c r="W29" s="102"/>
      <c r="X29" s="102">
        <f>'[2]ИП'!$J32</f>
        <v>8.39</v>
      </c>
      <c r="Y29" s="102"/>
      <c r="Z29" s="102">
        <f t="shared" si="3"/>
        <v>8.39</v>
      </c>
      <c r="AA29" s="102"/>
      <c r="AB29" s="102"/>
      <c r="AC29" s="102">
        <f t="shared" si="4"/>
        <v>8.39</v>
      </c>
      <c r="AD29" s="102"/>
    </row>
    <row r="30" spans="1:30" ht="27.75" customHeight="1">
      <c r="A30" s="12" t="s">
        <v>177</v>
      </c>
      <c r="B30" s="109" t="s">
        <v>206</v>
      </c>
      <c r="C30" s="101" t="s">
        <v>220</v>
      </c>
      <c r="D30" s="112">
        <v>2025</v>
      </c>
      <c r="E30" s="112">
        <v>2025</v>
      </c>
      <c r="F30" s="102"/>
      <c r="G30" s="102">
        <f>'[19]6. Отчет о ходе реализации ИП'!$B$41</f>
        <v>2.02149333333333</v>
      </c>
      <c r="H30" s="115"/>
      <c r="I30" s="102">
        <f>'[2]ИП'!$K33</f>
        <v>2.27</v>
      </c>
      <c r="J30" s="102">
        <f t="shared" si="1"/>
        <v>2.27</v>
      </c>
      <c r="K30" s="102">
        <f t="shared" si="0"/>
        <v>0</v>
      </c>
      <c r="L30" s="102"/>
      <c r="M30" s="102"/>
      <c r="N30" s="102">
        <v>0</v>
      </c>
      <c r="O30" s="102"/>
      <c r="P30" s="102">
        <f t="shared" si="2"/>
        <v>0</v>
      </c>
      <c r="Q30" s="102"/>
      <c r="R30" s="102"/>
      <c r="S30" s="102">
        <f>'[1]ИП'!$H35</f>
        <v>0</v>
      </c>
      <c r="T30" s="102"/>
      <c r="U30" s="102">
        <f t="shared" si="5"/>
        <v>2.27</v>
      </c>
      <c r="V30" s="102"/>
      <c r="W30" s="102"/>
      <c r="X30" s="102">
        <f>'[2]ИП'!$J33</f>
        <v>2.27</v>
      </c>
      <c r="Y30" s="102"/>
      <c r="Z30" s="102">
        <f t="shared" si="3"/>
        <v>2.27</v>
      </c>
      <c r="AA30" s="102"/>
      <c r="AB30" s="102"/>
      <c r="AC30" s="102">
        <f t="shared" si="4"/>
        <v>2.27</v>
      </c>
      <c r="AD30" s="102"/>
    </row>
    <row r="31" spans="1:30" ht="27.75" customHeight="1">
      <c r="A31" s="12" t="s">
        <v>178</v>
      </c>
      <c r="B31" s="109" t="s">
        <v>207</v>
      </c>
      <c r="C31" s="101" t="s">
        <v>221</v>
      </c>
      <c r="D31" s="112">
        <v>2025</v>
      </c>
      <c r="E31" s="112">
        <v>2025</v>
      </c>
      <c r="F31" s="102"/>
      <c r="G31" s="102">
        <f>'[20]6. Отчет о ходе реализации ИП'!$B$41</f>
        <v>0.5887066666666669</v>
      </c>
      <c r="H31" s="115"/>
      <c r="I31" s="102">
        <f>'[2]ИП'!$K34</f>
        <v>0.66</v>
      </c>
      <c r="J31" s="102">
        <f t="shared" si="1"/>
        <v>0.66</v>
      </c>
      <c r="K31" s="102">
        <f t="shared" si="0"/>
        <v>0</v>
      </c>
      <c r="L31" s="102"/>
      <c r="M31" s="102"/>
      <c r="N31" s="102">
        <v>0</v>
      </c>
      <c r="O31" s="102"/>
      <c r="P31" s="102">
        <f t="shared" si="2"/>
        <v>0</v>
      </c>
      <c r="Q31" s="102"/>
      <c r="R31" s="102"/>
      <c r="S31" s="102">
        <v>0</v>
      </c>
      <c r="T31" s="102"/>
      <c r="U31" s="102">
        <f>SUM(V31:Y31)</f>
        <v>0.66</v>
      </c>
      <c r="V31" s="102"/>
      <c r="W31" s="102"/>
      <c r="X31" s="102">
        <f>'[2]ИП'!$J34</f>
        <v>0.66</v>
      </c>
      <c r="Y31" s="102"/>
      <c r="Z31" s="102">
        <f t="shared" si="3"/>
        <v>0.66</v>
      </c>
      <c r="AA31" s="102"/>
      <c r="AB31" s="102"/>
      <c r="AC31" s="102">
        <f t="shared" si="4"/>
        <v>0.66</v>
      </c>
      <c r="AD31" s="102"/>
    </row>
    <row r="32" spans="1:30" ht="24" customHeight="1">
      <c r="A32" s="12" t="s">
        <v>179</v>
      </c>
      <c r="B32" s="109" t="s">
        <v>208</v>
      </c>
      <c r="C32" s="101" t="s">
        <v>222</v>
      </c>
      <c r="D32" s="112">
        <v>2025</v>
      </c>
      <c r="E32" s="112">
        <v>2025</v>
      </c>
      <c r="F32" s="102"/>
      <c r="G32" s="102">
        <f>'[21]6. Отчет о ходе реализации ИП'!$B$41</f>
        <v>0.12123766666666701</v>
      </c>
      <c r="H32" s="115"/>
      <c r="I32" s="102">
        <f>'[2]ИП'!$K35</f>
        <v>0.14</v>
      </c>
      <c r="J32" s="102">
        <f>I32</f>
        <v>0.14</v>
      </c>
      <c r="K32" s="102">
        <f t="shared" si="0"/>
        <v>0</v>
      </c>
      <c r="L32" s="102"/>
      <c r="M32" s="102"/>
      <c r="N32" s="102">
        <v>0</v>
      </c>
      <c r="O32" s="102"/>
      <c r="P32" s="102">
        <f>SUM(Q32:T32)</f>
        <v>0</v>
      </c>
      <c r="Q32" s="102"/>
      <c r="R32" s="102"/>
      <c r="S32" s="102">
        <v>0</v>
      </c>
      <c r="T32" s="102"/>
      <c r="U32" s="102">
        <f>SUM(V32:Y32)</f>
        <v>0.14</v>
      </c>
      <c r="V32" s="102"/>
      <c r="W32" s="102"/>
      <c r="X32" s="102">
        <f>'[2]ИП'!$J35</f>
        <v>0.14</v>
      </c>
      <c r="Y32" s="102"/>
      <c r="Z32" s="102">
        <f>AC32</f>
        <v>0.14</v>
      </c>
      <c r="AA32" s="102"/>
      <c r="AB32" s="102"/>
      <c r="AC32" s="102">
        <f>N32+S32+X32</f>
        <v>0.14</v>
      </c>
      <c r="AD32" s="102"/>
    </row>
    <row r="33" spans="1:30" ht="35.25" customHeight="1">
      <c r="A33" s="12" t="s">
        <v>180</v>
      </c>
      <c r="B33" s="109" t="s">
        <v>209</v>
      </c>
      <c r="C33" s="101" t="s">
        <v>223</v>
      </c>
      <c r="D33" s="112">
        <v>2025</v>
      </c>
      <c r="E33" s="112">
        <v>2025</v>
      </c>
      <c r="F33" s="102"/>
      <c r="G33" s="102">
        <f>'[22]6. Отчет о ходе реализации ИП'!$B$41</f>
        <v>0.308393333333333</v>
      </c>
      <c r="H33" s="115"/>
      <c r="I33" s="102">
        <f>'[2]ИП'!$K36</f>
        <v>0.35</v>
      </c>
      <c r="J33" s="102">
        <f>I33</f>
        <v>0.35</v>
      </c>
      <c r="K33" s="102">
        <f>SUM(L33:O33)</f>
        <v>0</v>
      </c>
      <c r="L33" s="102"/>
      <c r="M33" s="102"/>
      <c r="N33" s="102">
        <v>0</v>
      </c>
      <c r="O33" s="102"/>
      <c r="P33" s="102">
        <f>SUM(Q33:T33)</f>
        <v>0</v>
      </c>
      <c r="Q33" s="102"/>
      <c r="R33" s="102"/>
      <c r="S33" s="102">
        <v>0</v>
      </c>
      <c r="T33" s="102"/>
      <c r="U33" s="102">
        <f>SUM(V33:Y33)</f>
        <v>0.35</v>
      </c>
      <c r="V33" s="102"/>
      <c r="W33" s="102"/>
      <c r="X33" s="102">
        <f>'[2]ИП'!$J36</f>
        <v>0.35</v>
      </c>
      <c r="Y33" s="102"/>
      <c r="Z33" s="102">
        <f>AC33</f>
        <v>0.35</v>
      </c>
      <c r="AA33" s="102"/>
      <c r="AB33" s="102"/>
      <c r="AC33" s="102">
        <f>N33+S33+X33</f>
        <v>0.35</v>
      </c>
      <c r="AD33" s="102"/>
    </row>
    <row r="34" spans="1:30" s="97" customFormat="1" ht="31.5">
      <c r="A34" s="116">
        <v>3</v>
      </c>
      <c r="B34" s="106" t="s">
        <v>125</v>
      </c>
      <c r="C34" s="105"/>
      <c r="D34" s="114"/>
      <c r="E34" s="114"/>
      <c r="F34" s="107"/>
      <c r="G34" s="102"/>
      <c r="H34" s="115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7"/>
    </row>
    <row r="35" spans="1:30" s="97" customFormat="1" ht="40.5" customHeight="1">
      <c r="A35" s="99" t="s">
        <v>153</v>
      </c>
      <c r="B35" s="109" t="s">
        <v>156</v>
      </c>
      <c r="C35" s="162" t="s">
        <v>226</v>
      </c>
      <c r="D35" s="148">
        <v>2023</v>
      </c>
      <c r="E35" s="148">
        <v>2025</v>
      </c>
      <c r="F35" s="107"/>
      <c r="G35" s="102">
        <f>'[23]6. Отчет о ходе реализации ИП'!$B$41</f>
        <v>578.882255163198</v>
      </c>
      <c r="H35" s="115"/>
      <c r="I35" s="102">
        <f>'[2]ИП'!$K61</f>
        <v>628</v>
      </c>
      <c r="J35" s="102">
        <f>I35</f>
        <v>628</v>
      </c>
      <c r="K35" s="102">
        <f t="shared" si="0"/>
        <v>181.46</v>
      </c>
      <c r="L35" s="102"/>
      <c r="M35" s="102"/>
      <c r="N35" s="102">
        <f>'[2]ИП'!$H$61</f>
        <v>181.46</v>
      </c>
      <c r="O35" s="102"/>
      <c r="P35" s="102">
        <f>SUM(Q35:T35)</f>
        <v>208.88</v>
      </c>
      <c r="Q35" s="102"/>
      <c r="R35" s="102"/>
      <c r="S35" s="102">
        <f>'[2]ИП'!$I61</f>
        <v>208.88</v>
      </c>
      <c r="T35" s="102"/>
      <c r="U35" s="102">
        <f>SUM(V35:Y35)</f>
        <v>237.66</v>
      </c>
      <c r="V35" s="102"/>
      <c r="W35" s="102"/>
      <c r="X35" s="102">
        <f>'[2]ИП'!$J61</f>
        <v>237.66</v>
      </c>
      <c r="Y35" s="102"/>
      <c r="Z35" s="102">
        <f>AC35</f>
        <v>628</v>
      </c>
      <c r="AA35" s="102"/>
      <c r="AB35" s="102"/>
      <c r="AC35" s="102">
        <f>N35+S35+X35</f>
        <v>628</v>
      </c>
      <c r="AD35" s="107"/>
    </row>
    <row r="36" spans="1:30" s="133" customFormat="1" ht="15.75">
      <c r="A36" s="128" t="s">
        <v>159</v>
      </c>
      <c r="B36" s="109" t="s">
        <v>157</v>
      </c>
      <c r="C36" s="163"/>
      <c r="D36" s="149"/>
      <c r="E36" s="149"/>
      <c r="F36" s="129"/>
      <c r="G36" s="130">
        <f>'[25]Лист1'!$P$8</f>
        <v>418.82745744749997</v>
      </c>
      <c r="H36" s="131"/>
      <c r="I36" s="130">
        <f>'[25]Лист1'!$O$8*1.2</f>
        <v>454.36579655980444</v>
      </c>
      <c r="J36" s="102">
        <f aca="true" t="shared" si="6" ref="J36:J43">I36</f>
        <v>454.36579655980444</v>
      </c>
      <c r="K36" s="102">
        <f t="shared" si="0"/>
        <v>131.288994785</v>
      </c>
      <c r="L36" s="132"/>
      <c r="M36" s="132"/>
      <c r="N36" s="130">
        <f>'[25]Лист1'!$F$8/1000000</f>
        <v>131.288994785</v>
      </c>
      <c r="O36" s="130"/>
      <c r="P36" s="102">
        <f aca="true" t="shared" si="7" ref="P36:P43">SUM(Q36:T36)</f>
        <v>151.123763999104</v>
      </c>
      <c r="Q36" s="132"/>
      <c r="R36" s="132"/>
      <c r="S36" s="130">
        <f>'[25]Лист1'!$I$8/1000000</f>
        <v>151.123763999104</v>
      </c>
      <c r="T36" s="130"/>
      <c r="U36" s="102">
        <f aca="true" t="shared" si="8" ref="U36:U43">SUM(V36:Y36)</f>
        <v>171.95303777570047</v>
      </c>
      <c r="V36" s="132"/>
      <c r="W36" s="132"/>
      <c r="X36" s="130">
        <f>'[25]Лист1'!$L$8/1000000</f>
        <v>171.95303777570047</v>
      </c>
      <c r="Y36" s="130"/>
      <c r="Z36" s="102">
        <f aca="true" t="shared" si="9" ref="Z36:Z43">AC36</f>
        <v>454.36579655980444</v>
      </c>
      <c r="AA36" s="130"/>
      <c r="AB36" s="130"/>
      <c r="AC36" s="102">
        <f aca="true" t="shared" si="10" ref="AC36:AC43">N36+S36+X36</f>
        <v>454.36579655980444</v>
      </c>
      <c r="AD36" s="129"/>
    </row>
    <row r="37" spans="1:30" s="133" customFormat="1" ht="15.75">
      <c r="A37" s="136" t="s">
        <v>163</v>
      </c>
      <c r="B37" s="109" t="s">
        <v>158</v>
      </c>
      <c r="C37" s="163"/>
      <c r="D37" s="149"/>
      <c r="E37" s="149"/>
      <c r="F37" s="129"/>
      <c r="G37" s="130">
        <f>'[25]Лист1'!$P$9+'[25]Лист1'!$P$10</f>
        <v>19.732065462363636</v>
      </c>
      <c r="H37" s="131"/>
      <c r="I37" s="130">
        <f>('[25]Лист1'!$O$9+'[25]Лист1'!$O$10)*1.2</f>
        <v>21.40637028961</v>
      </c>
      <c r="J37" s="102">
        <f t="shared" si="6"/>
        <v>21.40637028961</v>
      </c>
      <c r="K37" s="102">
        <f t="shared" si="0"/>
        <v>6.185370594787879</v>
      </c>
      <c r="L37" s="132"/>
      <c r="M37" s="132"/>
      <c r="N37" s="130">
        <f>('[25]Лист1'!$F$9+'[25]Лист1'!$F$10)/1000000</f>
        <v>6.185370594787879</v>
      </c>
      <c r="O37" s="130"/>
      <c r="P37" s="102">
        <f t="shared" si="7"/>
        <v>7.119838852787975</v>
      </c>
      <c r="Q37" s="132"/>
      <c r="R37" s="132"/>
      <c r="S37" s="130">
        <f>('[25]Лист1'!$I$9+'[25]Лист1'!$I$10)/1000000</f>
        <v>7.119838852787975</v>
      </c>
      <c r="T37" s="130"/>
      <c r="U37" s="102">
        <f t="shared" si="8"/>
        <v>8.101160842034146</v>
      </c>
      <c r="V37" s="132"/>
      <c r="W37" s="132"/>
      <c r="X37" s="130">
        <f>('[25]Лист1'!$L$9+'[25]Лист1'!$L$10)/1000000</f>
        <v>8.101160842034146</v>
      </c>
      <c r="Y37" s="130"/>
      <c r="Z37" s="102">
        <f t="shared" si="9"/>
        <v>21.406370289610003</v>
      </c>
      <c r="AA37" s="130"/>
      <c r="AB37" s="130"/>
      <c r="AC37" s="102">
        <f t="shared" si="10"/>
        <v>21.406370289610003</v>
      </c>
      <c r="AD37" s="129"/>
    </row>
    <row r="38" spans="1:30" s="133" customFormat="1" ht="15.75">
      <c r="A38" s="136" t="s">
        <v>164</v>
      </c>
      <c r="B38" s="109" t="s">
        <v>230</v>
      </c>
      <c r="C38" s="163"/>
      <c r="D38" s="149"/>
      <c r="E38" s="149"/>
      <c r="F38" s="129"/>
      <c r="G38" s="130">
        <f>'[25]Лист1'!$P$11</f>
        <v>31.27436589059091</v>
      </c>
      <c r="H38" s="131"/>
      <c r="I38" s="130">
        <f>'[25]Лист1'!$O$11*1.2</f>
        <v>33.92805776484303</v>
      </c>
      <c r="J38" s="102">
        <f t="shared" si="6"/>
        <v>33.92805776484303</v>
      </c>
      <c r="K38" s="102">
        <f t="shared" si="0"/>
        <v>9.803512132030303</v>
      </c>
      <c r="L38" s="132"/>
      <c r="M38" s="132"/>
      <c r="N38" s="130">
        <f>'[25]Лист1'!$F$11/1000000</f>
        <v>9.803512132030303</v>
      </c>
      <c r="O38" s="130"/>
      <c r="P38" s="102">
        <f t="shared" si="7"/>
        <v>11.28459895842366</v>
      </c>
      <c r="Q38" s="132"/>
      <c r="R38" s="132"/>
      <c r="S38" s="130">
        <f>'[25]Лист1'!$I$11/1000000</f>
        <v>11.28459895842366</v>
      </c>
      <c r="T38" s="130"/>
      <c r="U38" s="102">
        <f t="shared" si="8"/>
        <v>12.83994667438907</v>
      </c>
      <c r="V38" s="132"/>
      <c r="W38" s="132"/>
      <c r="X38" s="130">
        <f>'[25]Лист1'!$L$11/1000000</f>
        <v>12.83994667438907</v>
      </c>
      <c r="Y38" s="130"/>
      <c r="Z38" s="102">
        <f t="shared" si="9"/>
        <v>33.92805776484303</v>
      </c>
      <c r="AA38" s="130"/>
      <c r="AB38" s="130"/>
      <c r="AC38" s="102">
        <f t="shared" si="10"/>
        <v>33.92805776484303</v>
      </c>
      <c r="AD38" s="129"/>
    </row>
    <row r="39" spans="1:30" s="133" customFormat="1" ht="15.75">
      <c r="A39" s="136" t="s">
        <v>165</v>
      </c>
      <c r="B39" s="109" t="s">
        <v>162</v>
      </c>
      <c r="C39" s="163"/>
      <c r="D39" s="149"/>
      <c r="E39" s="149"/>
      <c r="F39" s="129"/>
      <c r="G39" s="130">
        <v>0</v>
      </c>
      <c r="H39" s="131"/>
      <c r="I39" s="130">
        <v>0</v>
      </c>
      <c r="J39" s="102">
        <f t="shared" si="6"/>
        <v>0</v>
      </c>
      <c r="K39" s="102">
        <f t="shared" si="0"/>
        <v>0</v>
      </c>
      <c r="L39" s="132"/>
      <c r="M39" s="132"/>
      <c r="N39" s="130">
        <f>'[25]Лист1'!$F$13/1000000</f>
        <v>0</v>
      </c>
      <c r="O39" s="130"/>
      <c r="P39" s="102">
        <f t="shared" si="7"/>
        <v>0</v>
      </c>
      <c r="Q39" s="132"/>
      <c r="R39" s="132"/>
      <c r="S39" s="130">
        <f>'[25]Лист1'!$I$13/1000000</f>
        <v>0</v>
      </c>
      <c r="T39" s="130"/>
      <c r="U39" s="102">
        <f t="shared" si="8"/>
        <v>0</v>
      </c>
      <c r="V39" s="132"/>
      <c r="W39" s="132"/>
      <c r="X39" s="130">
        <f>'[25]Лист1'!$L$13/1000000</f>
        <v>0</v>
      </c>
      <c r="Y39" s="130"/>
      <c r="Z39" s="102">
        <f t="shared" si="9"/>
        <v>0</v>
      </c>
      <c r="AA39" s="130"/>
      <c r="AB39" s="130"/>
      <c r="AC39" s="102">
        <f t="shared" si="10"/>
        <v>0</v>
      </c>
      <c r="AD39" s="129"/>
    </row>
    <row r="40" spans="1:30" s="133" customFormat="1" ht="15.75">
      <c r="A40" s="136" t="s">
        <v>166</v>
      </c>
      <c r="B40" s="109" t="s">
        <v>181</v>
      </c>
      <c r="C40" s="163"/>
      <c r="D40" s="149"/>
      <c r="E40" s="149"/>
      <c r="F40" s="129"/>
      <c r="G40" s="130">
        <f>'[25]Лист1'!$P$6</f>
        <v>2.873601766363636</v>
      </c>
      <c r="H40" s="131"/>
      <c r="I40" s="130">
        <f>'[25]Лист1'!$O$6*1.2</f>
        <v>3.1174325664480578</v>
      </c>
      <c r="J40" s="102">
        <f t="shared" si="6"/>
        <v>3.1174325664480578</v>
      </c>
      <c r="K40" s="102">
        <f t="shared" si="0"/>
        <v>0.9007821254545454</v>
      </c>
      <c r="L40" s="132"/>
      <c r="M40" s="132"/>
      <c r="N40" s="130">
        <f>'[25]Лист1'!$F$6/1000000</f>
        <v>0.9007821254545454</v>
      </c>
      <c r="O40" s="130"/>
      <c r="P40" s="102">
        <f t="shared" si="7"/>
        <v>1.036869735842909</v>
      </c>
      <c r="Q40" s="132"/>
      <c r="R40" s="132"/>
      <c r="S40" s="130">
        <f>'[25]Лист1'!$I$6/1000000</f>
        <v>1.036869735842909</v>
      </c>
      <c r="T40" s="130"/>
      <c r="U40" s="102">
        <f t="shared" si="8"/>
        <v>1.1797807051506035</v>
      </c>
      <c r="V40" s="132"/>
      <c r="W40" s="132"/>
      <c r="X40" s="130">
        <f>'[25]Лист1'!$L$6/1000000</f>
        <v>1.1797807051506035</v>
      </c>
      <c r="Y40" s="130"/>
      <c r="Z40" s="102">
        <f t="shared" si="9"/>
        <v>3.117432566448058</v>
      </c>
      <c r="AA40" s="130"/>
      <c r="AB40" s="130"/>
      <c r="AC40" s="102">
        <f t="shared" si="10"/>
        <v>3.117432566448058</v>
      </c>
      <c r="AD40" s="129"/>
    </row>
    <row r="41" spans="1:30" s="133" customFormat="1" ht="15.75">
      <c r="A41" s="136" t="s">
        <v>167</v>
      </c>
      <c r="B41" s="109" t="s">
        <v>229</v>
      </c>
      <c r="C41" s="163"/>
      <c r="D41" s="149"/>
      <c r="E41" s="149"/>
      <c r="F41" s="129"/>
      <c r="G41" s="130">
        <v>0</v>
      </c>
      <c r="H41" s="131"/>
      <c r="I41" s="130">
        <v>0</v>
      </c>
      <c r="J41" s="102">
        <f t="shared" si="6"/>
        <v>0</v>
      </c>
      <c r="K41" s="102">
        <f t="shared" si="0"/>
        <v>0</v>
      </c>
      <c r="L41" s="132"/>
      <c r="M41" s="132"/>
      <c r="N41" s="130">
        <f>'[25]Лист1'!$F$14/1000000</f>
        <v>0</v>
      </c>
      <c r="O41" s="130"/>
      <c r="P41" s="102">
        <f t="shared" si="7"/>
        <v>0</v>
      </c>
      <c r="Q41" s="132"/>
      <c r="R41" s="132"/>
      <c r="S41" s="130">
        <f>'[25]Лист1'!$I$14/1000000</f>
        <v>0</v>
      </c>
      <c r="T41" s="130"/>
      <c r="U41" s="102">
        <f t="shared" si="8"/>
        <v>0</v>
      </c>
      <c r="V41" s="132"/>
      <c r="W41" s="132"/>
      <c r="X41" s="130">
        <f>'[25]Лист1'!$L$14/1000000</f>
        <v>0</v>
      </c>
      <c r="Y41" s="130"/>
      <c r="Z41" s="102">
        <f t="shared" si="9"/>
        <v>0</v>
      </c>
      <c r="AA41" s="130"/>
      <c r="AB41" s="130"/>
      <c r="AC41" s="102">
        <f t="shared" si="10"/>
        <v>0</v>
      </c>
      <c r="AD41" s="129"/>
    </row>
    <row r="42" spans="1:30" s="133" customFormat="1" ht="15.75">
      <c r="A42" s="136" t="s">
        <v>168</v>
      </c>
      <c r="B42" s="109" t="s">
        <v>182</v>
      </c>
      <c r="C42" s="163"/>
      <c r="D42" s="149"/>
      <c r="E42" s="149"/>
      <c r="F42" s="129"/>
      <c r="G42" s="130">
        <f>'[25]Лист1'!$P$16+'[25]Лист1'!$P$17+'[25]Лист1'!$P$18+'[25]Лист1'!$P$19+'[25]Лист1'!$P$20</f>
        <v>104.19296857932363</v>
      </c>
      <c r="H42" s="131"/>
      <c r="I42" s="130">
        <f>('[25]Лист1'!$O$16+'[25]Лист1'!$O$17+'[25]Лист1'!$O$18+'[25]Лист1'!$O$19+'[25]Лист1'!$O$20)*1.2</f>
        <v>113.03394828265131</v>
      </c>
      <c r="J42" s="102">
        <f t="shared" si="6"/>
        <v>113.03394828265131</v>
      </c>
      <c r="K42" s="102">
        <f t="shared" si="0"/>
        <v>32.66115882614788</v>
      </c>
      <c r="L42" s="132"/>
      <c r="M42" s="132"/>
      <c r="N42" s="130">
        <f>('[25]Лист1'!$F$16+'[25]Лист1'!$F$17+'[25]Лист1'!$F$18+'[25]Лист1'!$F$19+'[25]Лист1'!$F$20+'[25]Лист1'!$F$21)/1000000</f>
        <v>32.66115882614788</v>
      </c>
      <c r="O42" s="130"/>
      <c r="P42" s="102">
        <f t="shared" si="7"/>
        <v>37.595514128682765</v>
      </c>
      <c r="Q42" s="132"/>
      <c r="R42" s="132"/>
      <c r="S42" s="130">
        <f>('[25]Лист1'!$I$16+'[25]Лист1'!$I$17+'[25]Лист1'!$I$18+'[25]Лист1'!$I$19+'[25]Лист1'!$I$20+'[25]Лист1'!$I$21)/1000000</f>
        <v>37.595514128682765</v>
      </c>
      <c r="T42" s="130"/>
      <c r="U42" s="102">
        <f t="shared" si="8"/>
        <v>42.77727532782068</v>
      </c>
      <c r="V42" s="132"/>
      <c r="W42" s="132"/>
      <c r="X42" s="130">
        <f>('[25]Лист1'!$L$16+'[25]Лист1'!$L$17+'[25]Лист1'!$L$18+'[25]Лист1'!$L$19+'[25]Лист1'!$L$20+'[25]Лист1'!$L$21)/1000000</f>
        <v>42.77727532782068</v>
      </c>
      <c r="Y42" s="130"/>
      <c r="Z42" s="102">
        <f t="shared" si="9"/>
        <v>113.03394828265132</v>
      </c>
      <c r="AA42" s="130"/>
      <c r="AB42" s="130"/>
      <c r="AC42" s="102">
        <f t="shared" si="10"/>
        <v>113.03394828265132</v>
      </c>
      <c r="AD42" s="129"/>
    </row>
    <row r="43" spans="1:30" s="133" customFormat="1" ht="15.75">
      <c r="A43" s="136" t="s">
        <v>169</v>
      </c>
      <c r="B43" s="109" t="s">
        <v>228</v>
      </c>
      <c r="C43" s="164"/>
      <c r="D43" s="150"/>
      <c r="E43" s="150"/>
      <c r="F43" s="129"/>
      <c r="G43" s="130">
        <f>'[25]Лист1'!$P$12</f>
        <v>1.9817955503425733</v>
      </c>
      <c r="H43" s="131"/>
      <c r="I43" s="130">
        <f>'[25]Лист1'!$O$12*1.2</f>
        <v>2.149954827073275</v>
      </c>
      <c r="J43" s="102">
        <f t="shared" si="6"/>
        <v>2.149954827073275</v>
      </c>
      <c r="K43" s="102">
        <f t="shared" si="0"/>
        <v>0.6212294371996299</v>
      </c>
      <c r="L43" s="132"/>
      <c r="M43" s="132"/>
      <c r="N43" s="130">
        <f>'[25]Лист1'!$F$12/1000000</f>
        <v>0.6212294371996299</v>
      </c>
      <c r="O43" s="130"/>
      <c r="P43" s="102">
        <f t="shared" si="7"/>
        <v>0.7150830197945829</v>
      </c>
      <c r="Q43" s="132"/>
      <c r="R43" s="132"/>
      <c r="S43" s="130">
        <f>'[25]Лист1'!$I$12/1000000</f>
        <v>0.7150830197945829</v>
      </c>
      <c r="T43" s="130"/>
      <c r="U43" s="102">
        <f t="shared" si="8"/>
        <v>0.8136423700790626</v>
      </c>
      <c r="V43" s="132"/>
      <c r="W43" s="132"/>
      <c r="X43" s="130">
        <f>'[25]Лист1'!$L$12/1000000</f>
        <v>0.8136423700790626</v>
      </c>
      <c r="Y43" s="130"/>
      <c r="Z43" s="102">
        <f t="shared" si="9"/>
        <v>2.1499548270732753</v>
      </c>
      <c r="AA43" s="130"/>
      <c r="AB43" s="130"/>
      <c r="AC43" s="102">
        <f t="shared" si="10"/>
        <v>2.1499548270732753</v>
      </c>
      <c r="AD43" s="129"/>
    </row>
    <row r="44" spans="1:30" ht="26.25" customHeight="1">
      <c r="A44" s="99" t="s">
        <v>127</v>
      </c>
      <c r="B44" s="103" t="s">
        <v>224</v>
      </c>
      <c r="C44" s="101" t="s">
        <v>225</v>
      </c>
      <c r="D44" s="112">
        <v>2023</v>
      </c>
      <c r="E44" s="112">
        <v>2023</v>
      </c>
      <c r="F44" s="102"/>
      <c r="G44" s="102">
        <f>'[24]6. Отчет о ходе реализации ИП'!$B$41</f>
        <v>146.07885974</v>
      </c>
      <c r="H44" s="115"/>
      <c r="I44" s="102">
        <f>'[2]ИП'!$K71</f>
        <v>151.92</v>
      </c>
      <c r="J44" s="102">
        <f>I44</f>
        <v>151.92</v>
      </c>
      <c r="K44" s="102">
        <f>SUM(L44:O44)</f>
        <v>151.92</v>
      </c>
      <c r="L44" s="102"/>
      <c r="M44" s="102"/>
      <c r="N44" s="102">
        <f>'[2]ИП'!$H$71</f>
        <v>151.92</v>
      </c>
      <c r="O44" s="102"/>
      <c r="P44" s="102">
        <f>SUM(Q44:T44)</f>
        <v>0</v>
      </c>
      <c r="Q44" s="102"/>
      <c r="R44" s="102"/>
      <c r="S44" s="102">
        <v>0</v>
      </c>
      <c r="T44" s="102"/>
      <c r="U44" s="102">
        <f>SUM(V44:Y44)</f>
        <v>0</v>
      </c>
      <c r="V44" s="102"/>
      <c r="W44" s="102"/>
      <c r="X44" s="102">
        <v>0</v>
      </c>
      <c r="Y44" s="102"/>
      <c r="Z44" s="102">
        <f>AC44</f>
        <v>151.92</v>
      </c>
      <c r="AA44" s="102"/>
      <c r="AB44" s="102"/>
      <c r="AC44" s="102">
        <f>N44+S44+X44</f>
        <v>151.92</v>
      </c>
      <c r="AD44" s="102"/>
    </row>
    <row r="45" spans="1:30" ht="42" customHeight="1" thickBot="1">
      <c r="A45" s="161"/>
      <c r="B45" s="161"/>
      <c r="C45" s="110"/>
      <c r="D45" s="111"/>
      <c r="E45" s="111"/>
      <c r="F45" s="111"/>
      <c r="G45" s="111">
        <f>SUM(G14:G44)-G36-G37-G38-G43-G39-G40-G41-G42</f>
        <v>853.9552732565317</v>
      </c>
      <c r="H45" s="111"/>
      <c r="I45" s="111">
        <f>SUM(I14:I44)-I36-I37-I38-I43-I39-I40-I41-I42</f>
        <v>920.9900000000001</v>
      </c>
      <c r="J45" s="111">
        <f>SUM(J14:J44)-J36-J37-J38-J43-J39-J40-J41-J42</f>
        <v>920.9900000000001</v>
      </c>
      <c r="K45" s="111">
        <f>SUM(K14:K44)-K36-K37-K38-K43-K39-K40-K41-K42</f>
        <v>345.37</v>
      </c>
      <c r="L45" s="111"/>
      <c r="M45" s="111"/>
      <c r="N45" s="111">
        <f>SUM(N14:N44)-N36-N37-N38-N43-N39-N40-N41-N42</f>
        <v>345.37</v>
      </c>
      <c r="O45" s="111"/>
      <c r="P45" s="111">
        <f>SUM(P14:P44)-P36-P37-P38-P43-P39-P40-P41-P42</f>
        <v>284.61</v>
      </c>
      <c r="Q45" s="111"/>
      <c r="R45" s="111"/>
      <c r="S45" s="111">
        <f>SUM(S14:S44)-S36-S37-S38-S43-S39-S40-S41-S42</f>
        <v>284.61</v>
      </c>
      <c r="T45" s="111"/>
      <c r="U45" s="111">
        <f>SUM(U14:U44)-U36-U37-U38-U43-U39-U40-U41-U42</f>
        <v>291.01</v>
      </c>
      <c r="V45" s="111"/>
      <c r="W45" s="111"/>
      <c r="X45" s="111">
        <f>SUM(X14:X44)-X36-X37-X38-X43-X39-X40-X41-X42</f>
        <v>291.01</v>
      </c>
      <c r="Y45" s="111"/>
      <c r="Z45" s="111">
        <f>SUM(Z14:Z44)-Z36-Z37-Z38-Z43-Z39-Z40-Z41-Z42</f>
        <v>920.9900000000001</v>
      </c>
      <c r="AA45" s="111"/>
      <c r="AB45" s="111"/>
      <c r="AC45" s="111">
        <f>SUM(AC14:AC44)-AC36-AC37-AC38-AC43-AC39-AC40-AC41-AC42</f>
        <v>920.9900000000001</v>
      </c>
      <c r="AD45" s="111"/>
    </row>
    <row r="46" spans="1:26" ht="39.7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43">
        <f>'[2]ИП'!$H$105</f>
        <v>345.37</v>
      </c>
      <c r="N46" s="1"/>
      <c r="P46" s="143">
        <f>'[2]ИП'!$I$105</f>
        <v>284.61</v>
      </c>
      <c r="S46" s="1"/>
      <c r="U46" s="143">
        <f>'[2]ИП'!$J$105</f>
        <v>291.01</v>
      </c>
      <c r="X46" s="1"/>
      <c r="Z46" s="143">
        <f>'[2]ИП'!$K$105</f>
        <v>920.99</v>
      </c>
    </row>
    <row r="47" spans="1:26" ht="39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11">
        <f>K45-K46</f>
        <v>0</v>
      </c>
      <c r="P47" s="111">
        <f>P45-P46</f>
        <v>0</v>
      </c>
      <c r="U47" s="111">
        <f>U45-U46</f>
        <v>0</v>
      </c>
      <c r="Z47" s="111">
        <f>Z45-Z46</f>
        <v>0</v>
      </c>
    </row>
    <row r="48" spans="1:10" ht="147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</row>
    <row r="49" ht="33" customHeight="1"/>
    <row r="50" ht="76.5" customHeight="1">
      <c r="I50" s="14"/>
    </row>
    <row r="51" spans="1:9" ht="70.5" customHeight="1">
      <c r="A51" s="154"/>
      <c r="B51" s="154"/>
      <c r="C51" s="154"/>
      <c r="D51" s="154"/>
      <c r="E51" s="154"/>
      <c r="F51" s="154"/>
      <c r="G51" s="154"/>
      <c r="H51" s="154"/>
      <c r="I51" s="14"/>
    </row>
    <row r="52" spans="1:9" ht="53.25" customHeight="1">
      <c r="A52" s="154"/>
      <c r="B52" s="154"/>
      <c r="C52" s="154"/>
      <c r="D52" s="154"/>
      <c r="E52" s="154"/>
      <c r="F52" s="154"/>
      <c r="G52" s="154"/>
      <c r="H52" s="154"/>
      <c r="I52" s="14"/>
    </row>
    <row r="53" spans="1:8" ht="15.75">
      <c r="A53" s="160"/>
      <c r="B53" s="160"/>
      <c r="C53" s="160"/>
      <c r="D53" s="160"/>
      <c r="E53" s="160"/>
      <c r="F53" s="160"/>
      <c r="G53" s="160"/>
      <c r="H53" s="160"/>
    </row>
    <row r="54" spans="2:9" ht="15.75">
      <c r="B54" s="156"/>
      <c r="C54" s="156"/>
      <c r="D54" s="156"/>
      <c r="E54" s="156"/>
      <c r="F54" s="156"/>
      <c r="G54" s="156"/>
      <c r="H54" s="156"/>
      <c r="I54" s="156"/>
    </row>
    <row r="55" spans="2:9" ht="15.75">
      <c r="B55" s="157"/>
      <c r="C55" s="157"/>
      <c r="D55" s="157"/>
      <c r="E55" s="157"/>
      <c r="F55" s="157"/>
      <c r="G55" s="157"/>
      <c r="H55" s="157"/>
      <c r="I55" s="157"/>
    </row>
    <row r="56" spans="2:9" ht="15.75">
      <c r="B56" s="156"/>
      <c r="C56" s="156"/>
      <c r="D56" s="156"/>
      <c r="E56" s="156"/>
      <c r="F56" s="156"/>
      <c r="G56" s="156"/>
      <c r="H56" s="156"/>
      <c r="I56" s="156"/>
    </row>
    <row r="57" spans="2:9" ht="15.75">
      <c r="B57" s="158"/>
      <c r="C57" s="158"/>
      <c r="D57" s="158"/>
      <c r="E57" s="158"/>
      <c r="F57" s="158"/>
      <c r="G57" s="158"/>
      <c r="H57" s="158"/>
      <c r="I57" s="158"/>
    </row>
    <row r="58" ht="15.75">
      <c r="B58" s="15"/>
    </row>
    <row r="59" spans="2:9" ht="15.75">
      <c r="B59" s="151"/>
      <c r="C59" s="151"/>
      <c r="D59" s="151"/>
      <c r="E59" s="151"/>
      <c r="F59" s="151"/>
      <c r="G59" s="151"/>
      <c r="H59" s="151"/>
      <c r="I59" s="151"/>
    </row>
  </sheetData>
  <sheetProtection/>
  <mergeCells count="33">
    <mergeCell ref="A3:T3"/>
    <mergeCell ref="A4:T4"/>
    <mergeCell ref="A6:T6"/>
    <mergeCell ref="A7:T7"/>
    <mergeCell ref="A9:A11"/>
    <mergeCell ref="B9:B11"/>
    <mergeCell ref="C9:C11"/>
    <mergeCell ref="J9:J10"/>
    <mergeCell ref="K9:AD9"/>
    <mergeCell ref="F10:H10"/>
    <mergeCell ref="K10:O10"/>
    <mergeCell ref="P10:T10"/>
    <mergeCell ref="Z10:AD10"/>
    <mergeCell ref="U10:Y10"/>
    <mergeCell ref="F9:H9"/>
    <mergeCell ref="I9:I10"/>
    <mergeCell ref="E9:E10"/>
    <mergeCell ref="B54:I54"/>
    <mergeCell ref="B55:I55"/>
    <mergeCell ref="B56:I56"/>
    <mergeCell ref="B57:I57"/>
    <mergeCell ref="D9:D11"/>
    <mergeCell ref="A52:H52"/>
    <mergeCell ref="A53:H53"/>
    <mergeCell ref="A45:B45"/>
    <mergeCell ref="C35:C43"/>
    <mergeCell ref="D35:D43"/>
    <mergeCell ref="E35:E43"/>
    <mergeCell ref="B59:I59"/>
    <mergeCell ref="A46:J46"/>
    <mergeCell ref="A47:J47"/>
    <mergeCell ref="A48:J48"/>
    <mergeCell ref="A51:H5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8 N31:N34 I44 G44 I20:I33 I35 N14:N24 G14:G35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32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99"/>
  <sheetViews>
    <sheetView zoomScale="75" zoomScaleNormal="75" zoomScaleSheetLayoutView="69" zoomScalePageLayoutView="0" workbookViewId="0" topLeftCell="A1">
      <pane xSplit="3" ySplit="12" topLeftCell="D3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O38" sqref="O38"/>
    </sheetView>
  </sheetViews>
  <sheetFormatPr defaultColWidth="9.00390625" defaultRowHeight="12.75"/>
  <cols>
    <col min="1" max="1" width="12.375" style="1" customWidth="1"/>
    <col min="2" max="2" width="49.25390625" style="1" customWidth="1"/>
    <col min="3" max="3" width="15.125" style="1" customWidth="1"/>
    <col min="4" max="4" width="11.625" style="1" customWidth="1"/>
    <col min="5" max="5" width="14.875" style="1" customWidth="1"/>
    <col min="6" max="6" width="23.75390625" style="1" customWidth="1"/>
    <col min="7" max="7" width="19.125" style="1" customWidth="1"/>
    <col min="8" max="8" width="19.00390625" style="1" customWidth="1"/>
    <col min="9" max="9" width="18.125" style="1" customWidth="1"/>
    <col min="10" max="10" width="13.375" style="51" customWidth="1"/>
    <col min="11" max="11" width="14.00390625" style="1" customWidth="1"/>
    <col min="12" max="15" width="19.00390625" style="1" customWidth="1"/>
    <col min="16" max="16" width="8.25390625" style="1" customWidth="1"/>
    <col min="17" max="17" width="11.25390625" style="1" customWidth="1"/>
    <col min="18" max="18" width="8.1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8.75">
      <c r="O1" s="2" t="s">
        <v>123</v>
      </c>
    </row>
    <row r="2" ht="18.75">
      <c r="O2" s="3"/>
    </row>
    <row r="3" spans="1:15" ht="18.7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46" ht="18.75">
      <c r="A4" s="173" t="s">
        <v>110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59"/>
      <c r="K5" s="4"/>
      <c r="L5" s="4"/>
      <c r="M5" s="4"/>
      <c r="N5" s="4"/>
      <c r="O5" s="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8" ht="18.75">
      <c r="A6" s="174" t="str">
        <f>'прил.1'!A6</f>
        <v>Обособленное подразделение "АтомЭнергоСбыт" Тверь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5.75">
      <c r="A7" s="172" t="s">
        <v>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15" ht="15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</row>
    <row r="9" spans="1:15" ht="72.75" customHeight="1">
      <c r="A9" s="155" t="s">
        <v>3</v>
      </c>
      <c r="B9" s="155" t="s">
        <v>87</v>
      </c>
      <c r="C9" s="155" t="s">
        <v>88</v>
      </c>
      <c r="D9" s="159" t="s">
        <v>6</v>
      </c>
      <c r="E9" s="155" t="s">
        <v>111</v>
      </c>
      <c r="F9" s="155" t="s">
        <v>112</v>
      </c>
      <c r="G9" s="155" t="s">
        <v>113</v>
      </c>
      <c r="H9" s="155"/>
      <c r="I9" s="155"/>
      <c r="J9" s="166" t="s">
        <v>114</v>
      </c>
      <c r="K9" s="166"/>
      <c r="L9" s="155"/>
      <c r="M9" s="155"/>
      <c r="N9" s="155"/>
      <c r="O9" s="155"/>
    </row>
    <row r="10" spans="1:15" ht="75.75" customHeight="1">
      <c r="A10" s="155"/>
      <c r="B10" s="155"/>
      <c r="C10" s="155"/>
      <c r="D10" s="159"/>
      <c r="E10" s="155"/>
      <c r="F10" s="155"/>
      <c r="G10" s="165" t="s">
        <v>11</v>
      </c>
      <c r="H10" s="166"/>
      <c r="I10" s="166"/>
      <c r="J10" s="165" t="s">
        <v>185</v>
      </c>
      <c r="K10" s="167"/>
      <c r="L10" s="38" t="s">
        <v>160</v>
      </c>
      <c r="M10" s="38" t="s">
        <v>171</v>
      </c>
      <c r="N10" s="38" t="s">
        <v>186</v>
      </c>
      <c r="O10" s="155" t="s">
        <v>12</v>
      </c>
    </row>
    <row r="11" spans="1:15" ht="143.25" customHeight="1">
      <c r="A11" s="155"/>
      <c r="B11" s="155"/>
      <c r="C11" s="155"/>
      <c r="D11" s="159"/>
      <c r="E11" s="46" t="s">
        <v>11</v>
      </c>
      <c r="F11" s="46" t="s">
        <v>13</v>
      </c>
      <c r="G11" s="9" t="s">
        <v>115</v>
      </c>
      <c r="H11" s="47" t="s">
        <v>116</v>
      </c>
      <c r="I11" s="47" t="s">
        <v>117</v>
      </c>
      <c r="J11" s="65" t="s">
        <v>118</v>
      </c>
      <c r="K11" s="9" t="s">
        <v>119</v>
      </c>
      <c r="L11" s="8" t="s">
        <v>11</v>
      </c>
      <c r="M11" s="8" t="s">
        <v>11</v>
      </c>
      <c r="N11" s="8" t="s">
        <v>11</v>
      </c>
      <c r="O11" s="155"/>
    </row>
    <row r="12" spans="1:15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2">
        <v>10</v>
      </c>
      <c r="K12" s="8">
        <v>11</v>
      </c>
      <c r="L12" s="12" t="s">
        <v>120</v>
      </c>
      <c r="M12" s="12" t="s">
        <v>121</v>
      </c>
      <c r="N12" s="12" t="s">
        <v>122</v>
      </c>
      <c r="O12" s="8">
        <v>13</v>
      </c>
    </row>
    <row r="13" spans="1:15" ht="31.5">
      <c r="A13" s="50">
        <v>1</v>
      </c>
      <c r="B13" s="106" t="s">
        <v>147</v>
      </c>
      <c r="C13" s="75"/>
      <c r="D13" s="75"/>
      <c r="E13" s="75"/>
      <c r="F13" s="67"/>
      <c r="G13" s="67"/>
      <c r="H13" s="67"/>
      <c r="I13" s="67"/>
      <c r="J13" s="68"/>
      <c r="K13" s="67"/>
      <c r="L13" s="67"/>
      <c r="M13" s="67"/>
      <c r="N13" s="67"/>
      <c r="O13" s="67"/>
    </row>
    <row r="14" spans="1:15" ht="20.25" customHeight="1">
      <c r="A14" s="12" t="s">
        <v>50</v>
      </c>
      <c r="B14" s="108" t="str">
        <f>'прил.1'!B14</f>
        <v>Кондиционер AUX ALCA-H48/5R1</v>
      </c>
      <c r="C14" s="127" t="str">
        <f>'прил.1'!C14</f>
        <v>M_ТАЭС.01</v>
      </c>
      <c r="D14" s="113">
        <f>'прил.1'!D14</f>
        <v>2023</v>
      </c>
      <c r="E14" s="113">
        <f>'прил.1'!E14</f>
        <v>2024</v>
      </c>
      <c r="F14" s="102">
        <f>'прил.1'!G14/1.2</f>
        <v>1.0052</v>
      </c>
      <c r="G14" s="102">
        <f>H14+I14</f>
        <v>1.0583333333333333</v>
      </c>
      <c r="H14" s="102">
        <f>'прил.1'!AC14/1.2</f>
        <v>1.0583333333333333</v>
      </c>
      <c r="I14" s="123">
        <v>0</v>
      </c>
      <c r="J14" s="124"/>
      <c r="K14" s="102">
        <f>G14</f>
        <v>1.0583333333333333</v>
      </c>
      <c r="L14" s="123">
        <f>'прил.1'!N14/1.2</f>
        <v>0.8750000000000001</v>
      </c>
      <c r="M14" s="123">
        <f>'прил.1'!S14/1.2</f>
        <v>0.18333333333333335</v>
      </c>
      <c r="N14" s="123">
        <f>'прил.1'!X14/1.2</f>
        <v>0</v>
      </c>
      <c r="O14" s="123">
        <f>L14+M14+N14</f>
        <v>1.0583333333333336</v>
      </c>
    </row>
    <row r="15" spans="1:15" ht="16.5">
      <c r="A15" s="12" t="s">
        <v>56</v>
      </c>
      <c r="B15" s="108" t="str">
        <f>'прил.1'!B15</f>
        <v>Вывеска на фасаде здания</v>
      </c>
      <c r="C15" s="127" t="str">
        <f>'прил.1'!C15</f>
        <v>M_ТАЭС.02</v>
      </c>
      <c r="D15" s="113">
        <f>'прил.1'!D15</f>
        <v>2024</v>
      </c>
      <c r="E15" s="113">
        <f>'прил.1'!E15</f>
        <v>2024</v>
      </c>
      <c r="F15" s="102">
        <f>'прил.1'!G15/1.2</f>
        <v>0.14188833333333334</v>
      </c>
      <c r="G15" s="102">
        <f>H15+I15</f>
        <v>0.15</v>
      </c>
      <c r="H15" s="102">
        <f>'прил.1'!AC15/1.2</f>
        <v>0.15</v>
      </c>
      <c r="I15" s="123">
        <v>0</v>
      </c>
      <c r="J15" s="124"/>
      <c r="K15" s="102">
        <f>G15</f>
        <v>0.15</v>
      </c>
      <c r="L15" s="123">
        <f>'прил.1'!N15/1.2</f>
        <v>0</v>
      </c>
      <c r="M15" s="123">
        <f>'прил.1'!S15/1.2</f>
        <v>0.15</v>
      </c>
      <c r="N15" s="123">
        <f>'прил.1'!X15/1.2</f>
        <v>0</v>
      </c>
      <c r="O15" s="123">
        <f>L15+M15+N15</f>
        <v>0.15</v>
      </c>
    </row>
    <row r="16" spans="1:15" ht="21.75" customHeight="1">
      <c r="A16" s="12" t="s">
        <v>62</v>
      </c>
      <c r="B16" s="108" t="str">
        <f>'прил.1'!B16</f>
        <v>Терминал самообслуживания</v>
      </c>
      <c r="C16" s="101" t="str">
        <f>'прил.1'!C16</f>
        <v>M_ТАЭС.03</v>
      </c>
      <c r="D16" s="113">
        <f>'прил.1'!D16</f>
        <v>2023</v>
      </c>
      <c r="E16" s="113">
        <f>'прил.1'!E16</f>
        <v>2024</v>
      </c>
      <c r="F16" s="102">
        <f>'прил.1'!G16/1.2</f>
        <v>1.650205</v>
      </c>
      <c r="G16" s="102">
        <f>H16+I16</f>
        <v>1.7333333333333334</v>
      </c>
      <c r="H16" s="102">
        <f>'прил.1'!AC16/1.2</f>
        <v>1.7333333333333334</v>
      </c>
      <c r="I16" s="123">
        <v>0</v>
      </c>
      <c r="J16" s="124"/>
      <c r="K16" s="102">
        <f>G16</f>
        <v>1.7333333333333334</v>
      </c>
      <c r="L16" s="123">
        <f>'прил.1'!N16/1.2</f>
        <v>1.1416666666666668</v>
      </c>
      <c r="M16" s="123">
        <f>'прил.1'!S16/1.2</f>
        <v>0.5916666666666667</v>
      </c>
      <c r="N16" s="123">
        <f>'прил.1'!X16/1.2</f>
        <v>0</v>
      </c>
      <c r="O16" s="123">
        <f>L16+M16+N16</f>
        <v>1.7333333333333334</v>
      </c>
    </row>
    <row r="17" spans="1:15" ht="16.5">
      <c r="A17" s="12" t="s">
        <v>64</v>
      </c>
      <c r="B17" s="108" t="str">
        <f>'прил.1'!B17</f>
        <v>Система электронной очереди</v>
      </c>
      <c r="C17" s="101" t="str">
        <f>'прил.1'!C17</f>
        <v>M_ТАЭС.04</v>
      </c>
      <c r="D17" s="113">
        <f>'прил.1'!D17</f>
        <v>2023</v>
      </c>
      <c r="E17" s="113">
        <f>'прил.1'!E17</f>
        <v>2023</v>
      </c>
      <c r="F17" s="102">
        <f>'прил.1'!G17/1.2</f>
        <v>0.9333333333333335</v>
      </c>
      <c r="G17" s="102">
        <f>H17+I17</f>
        <v>0.9666666666666667</v>
      </c>
      <c r="H17" s="102">
        <f>'прил.1'!AC17/1.2</f>
        <v>0.9666666666666667</v>
      </c>
      <c r="I17" s="123">
        <v>0</v>
      </c>
      <c r="J17" s="124"/>
      <c r="K17" s="102">
        <f>G17</f>
        <v>0.9666666666666667</v>
      </c>
      <c r="L17" s="123">
        <f>'прил.1'!N17/1.2</f>
        <v>0.9666666666666667</v>
      </c>
      <c r="M17" s="123">
        <f>'прил.1'!S17/1.2</f>
        <v>0</v>
      </c>
      <c r="N17" s="123">
        <f>'прил.1'!X17/1.2</f>
        <v>0</v>
      </c>
      <c r="O17" s="123">
        <f>L17+M17+N17</f>
        <v>0.9666666666666667</v>
      </c>
    </row>
    <row r="18" spans="1:15" ht="21" customHeight="1">
      <c r="A18" s="12" t="s">
        <v>161</v>
      </c>
      <c r="B18" s="108" t="str">
        <f>'прил.1'!B18</f>
        <v>Установка шлагбаума</v>
      </c>
      <c r="C18" s="101" t="str">
        <f>'прил.1'!C18</f>
        <v>M_ТАЭС.05</v>
      </c>
      <c r="D18" s="113">
        <f>'прил.1'!D18</f>
        <v>2023</v>
      </c>
      <c r="E18" s="113">
        <f>'прил.1'!E18</f>
        <v>2023</v>
      </c>
      <c r="F18" s="102">
        <f>'прил.1'!G18/1.2</f>
        <v>0.13488666666666668</v>
      </c>
      <c r="G18" s="102">
        <f>H18+I18</f>
        <v>0.1416666666666667</v>
      </c>
      <c r="H18" s="102">
        <f>'прил.1'!AC18/1.2</f>
        <v>0.1416666666666667</v>
      </c>
      <c r="I18" s="123">
        <v>0</v>
      </c>
      <c r="J18" s="124"/>
      <c r="K18" s="102">
        <f>G18</f>
        <v>0.1416666666666667</v>
      </c>
      <c r="L18" s="123">
        <f>'прил.1'!N18/1.2</f>
        <v>0.1416666666666667</v>
      </c>
      <c r="M18" s="123">
        <f>'прил.1'!S18/1.2</f>
        <v>0</v>
      </c>
      <c r="N18" s="123">
        <f>'прил.1'!X18/1.2</f>
        <v>0</v>
      </c>
      <c r="O18" s="123">
        <f>L18+M18+N18</f>
        <v>0.1416666666666667</v>
      </c>
    </row>
    <row r="19" spans="1:15" ht="33" customHeight="1">
      <c r="A19" s="142">
        <v>2</v>
      </c>
      <c r="B19" s="106" t="s">
        <v>148</v>
      </c>
      <c r="C19" s="101"/>
      <c r="D19" s="114"/>
      <c r="E19" s="114"/>
      <c r="F19" s="102"/>
      <c r="G19" s="102"/>
      <c r="H19" s="102"/>
      <c r="I19" s="123"/>
      <c r="J19" s="124"/>
      <c r="K19" s="102"/>
      <c r="L19" s="123"/>
      <c r="M19" s="123"/>
      <c r="N19" s="123"/>
      <c r="O19" s="123"/>
    </row>
    <row r="20" spans="1:15" ht="23.25" customHeight="1">
      <c r="A20" s="12" t="s">
        <v>69</v>
      </c>
      <c r="B20" s="108" t="str">
        <f>'прил.1'!B20</f>
        <v>МФУ</v>
      </c>
      <c r="C20" s="101" t="str">
        <f>'прил.1'!C20</f>
        <v>M_ТАЭС.06</v>
      </c>
      <c r="D20" s="113">
        <f>'прил.1'!D20</f>
        <v>2023</v>
      </c>
      <c r="E20" s="113">
        <f>'прил.1'!E20</f>
        <v>2025</v>
      </c>
      <c r="F20" s="102">
        <f>'прил.1'!G20/1.2</f>
        <v>24.78333333333333</v>
      </c>
      <c r="G20" s="102">
        <f aca="true" t="shared" si="0" ref="G20:G33">H20+I20</f>
        <v>26.775000000000002</v>
      </c>
      <c r="H20" s="102">
        <f>'прил.1'!AC20/1.2</f>
        <v>26.775000000000002</v>
      </c>
      <c r="I20" s="123">
        <v>0</v>
      </c>
      <c r="J20" s="124"/>
      <c r="K20" s="102">
        <f>G20</f>
        <v>26.775000000000002</v>
      </c>
      <c r="L20" s="123">
        <f>'прил.1'!N20/1.2</f>
        <v>1.3250000000000002</v>
      </c>
      <c r="M20" s="123">
        <f>'прил.1'!S20/1.2</f>
        <v>24.89166666666667</v>
      </c>
      <c r="N20" s="123">
        <f>'прил.1'!X20/1.2</f>
        <v>0.5583333333333333</v>
      </c>
      <c r="O20" s="123">
        <f>L20+M20+N20</f>
        <v>26.775000000000002</v>
      </c>
    </row>
    <row r="21" spans="1:15" ht="21.75" customHeight="1">
      <c r="A21" s="12" t="s">
        <v>71</v>
      </c>
      <c r="B21" s="108" t="str">
        <f>'прил.1'!B21</f>
        <v>Замена ИБП</v>
      </c>
      <c r="C21" s="101" t="str">
        <f>'прил.1'!C21</f>
        <v>M_ТАЭС.07</v>
      </c>
      <c r="D21" s="113">
        <f>'прил.1'!D21</f>
        <v>2023</v>
      </c>
      <c r="E21" s="113">
        <f>'прил.1'!E21</f>
        <v>2025</v>
      </c>
      <c r="F21" s="102">
        <f>'прил.1'!G21/1.2</f>
        <v>10.528855555555584</v>
      </c>
      <c r="G21" s="102">
        <f t="shared" si="0"/>
        <v>11.658333333333333</v>
      </c>
      <c r="H21" s="102">
        <f>'прил.1'!AC21/1.2</f>
        <v>11.658333333333333</v>
      </c>
      <c r="I21" s="123"/>
      <c r="J21" s="124"/>
      <c r="K21" s="102">
        <f aca="true" t="shared" si="1" ref="K21:K26">G21</f>
        <v>11.658333333333333</v>
      </c>
      <c r="L21" s="123">
        <f>'прил.1'!N21/1.2</f>
        <v>2.275</v>
      </c>
      <c r="M21" s="123">
        <f>'прил.1'!S21/1.2</f>
        <v>0</v>
      </c>
      <c r="N21" s="123">
        <f>'прил.1'!X21/1.2</f>
        <v>9.383333333333333</v>
      </c>
      <c r="O21" s="123">
        <f aca="true" t="shared" si="2" ref="O21:O26">L21+M21+N21</f>
        <v>11.658333333333333</v>
      </c>
    </row>
    <row r="22" spans="1:15" ht="49.5" customHeight="1">
      <c r="A22" s="12" t="s">
        <v>73</v>
      </c>
      <c r="B22" s="108" t="str">
        <f>'прил.1'!B22</f>
        <v>Маршрутизатор  Cisco ISR 4321 в составе:
-Расширение портов Cisco NIM-2GE-CU-SFP-1шт.</v>
      </c>
      <c r="C22" s="101" t="str">
        <f>'прил.1'!C22</f>
        <v>M_ТАЭС.08</v>
      </c>
      <c r="D22" s="113">
        <f>'прил.1'!D22</f>
        <v>2023</v>
      </c>
      <c r="E22" s="113">
        <f>'прил.1'!E22</f>
        <v>2025</v>
      </c>
      <c r="F22" s="102">
        <f>'прил.1'!G22/1.2</f>
        <v>5.7883444444444425</v>
      </c>
      <c r="G22" s="102">
        <f t="shared" si="0"/>
        <v>6.208333333333333</v>
      </c>
      <c r="H22" s="102">
        <f>'прил.1'!AC22/1.2</f>
        <v>6.208333333333333</v>
      </c>
      <c r="I22" s="123"/>
      <c r="J22" s="124"/>
      <c r="K22" s="102">
        <f t="shared" si="1"/>
        <v>6.208333333333333</v>
      </c>
      <c r="L22" s="123">
        <f>'прил.1'!N22/1.2</f>
        <v>2.2583333333333333</v>
      </c>
      <c r="M22" s="123">
        <f>'прил.1'!S22/1.2</f>
        <v>3.1333333333333333</v>
      </c>
      <c r="N22" s="123">
        <f>'прил.1'!X22/1.2</f>
        <v>0.8166666666666667</v>
      </c>
      <c r="O22" s="123">
        <f t="shared" si="2"/>
        <v>6.208333333333333</v>
      </c>
    </row>
    <row r="23" spans="1:15" ht="23.25" customHeight="1">
      <c r="A23" s="12" t="s">
        <v>75</v>
      </c>
      <c r="B23" s="108" t="str">
        <f>'прил.1'!B23</f>
        <v>АПКШ Континент 3.9 IPC25</v>
      </c>
      <c r="C23" s="101" t="str">
        <f>'прил.1'!C23</f>
        <v>M_ТАЭС.09</v>
      </c>
      <c r="D23" s="113">
        <f>'прил.1'!D23</f>
        <v>2023</v>
      </c>
      <c r="E23" s="113">
        <f>'прил.1'!E23</f>
        <v>2025</v>
      </c>
      <c r="F23" s="102">
        <f>'прил.1'!G23/1.2</f>
        <v>3.6007472222222248</v>
      </c>
      <c r="G23" s="102">
        <f t="shared" si="0"/>
        <v>3.966666666666667</v>
      </c>
      <c r="H23" s="102">
        <f>'прил.1'!AC23/1.2</f>
        <v>3.966666666666667</v>
      </c>
      <c r="I23" s="123"/>
      <c r="J23" s="124"/>
      <c r="K23" s="102">
        <f t="shared" si="1"/>
        <v>3.966666666666667</v>
      </c>
      <c r="L23" s="123">
        <f>'прил.1'!N23/1.2</f>
        <v>1.0083333333333333</v>
      </c>
      <c r="M23" s="123">
        <f>'прил.1'!S23/1.2</f>
        <v>0</v>
      </c>
      <c r="N23" s="123">
        <f>'прил.1'!X23/1.2</f>
        <v>2.9583333333333335</v>
      </c>
      <c r="O23" s="123">
        <f t="shared" si="2"/>
        <v>3.966666666666667</v>
      </c>
    </row>
    <row r="24" spans="1:15" ht="39" customHeight="1">
      <c r="A24" s="12" t="s">
        <v>77</v>
      </c>
      <c r="B24" s="108" t="str">
        <f>'прил.1'!B24</f>
        <v>Ленточная библиотека HPE STOREEVER MSL2024 LTO-7 15000 SAS (P9G69A)</v>
      </c>
      <c r="C24" s="101" t="str">
        <f>'прил.1'!C24</f>
        <v>M_ТАЭС.10</v>
      </c>
      <c r="D24" s="113">
        <f>'прил.1'!D24</f>
        <v>2024</v>
      </c>
      <c r="E24" s="113">
        <f>'прил.1'!E24</f>
        <v>2024</v>
      </c>
      <c r="F24" s="102">
        <f>'прил.1'!G24/1.2</f>
        <v>0.7643952777777775</v>
      </c>
      <c r="G24" s="102">
        <f t="shared" si="0"/>
        <v>0.8250000000000001</v>
      </c>
      <c r="H24" s="102">
        <f>'прил.1'!AC24/1.2</f>
        <v>0.8250000000000001</v>
      </c>
      <c r="I24" s="123"/>
      <c r="J24" s="124"/>
      <c r="K24" s="102">
        <f t="shared" si="1"/>
        <v>0.8250000000000001</v>
      </c>
      <c r="L24" s="123">
        <f>'прил.1'!N24/1.2</f>
        <v>0</v>
      </c>
      <c r="M24" s="123">
        <f>'прил.1'!S24/1.2</f>
        <v>0.8250000000000001</v>
      </c>
      <c r="N24" s="123">
        <f>'прил.1'!X24/1.2</f>
        <v>0</v>
      </c>
      <c r="O24" s="123">
        <f t="shared" si="2"/>
        <v>0.8250000000000001</v>
      </c>
    </row>
    <row r="25" spans="1:15" ht="36" customHeight="1">
      <c r="A25" s="12" t="s">
        <v>82</v>
      </c>
      <c r="B25" s="108" t="str">
        <f>'прил.1'!B25</f>
        <v>Система хранения данных (СХД) HPE MSA 2062 + 24 SSD SAS 1,92 TB</v>
      </c>
      <c r="C25" s="101" t="str">
        <f>'прил.1'!C25</f>
        <v>M_ТАЭС.11</v>
      </c>
      <c r="D25" s="113">
        <f>'прил.1'!D25</f>
        <v>2024</v>
      </c>
      <c r="E25" s="113">
        <f>'прил.1'!E25</f>
        <v>2025</v>
      </c>
      <c r="F25" s="102">
        <f>'прил.1'!G25/1.2</f>
        <v>9.941644016666666</v>
      </c>
      <c r="G25" s="102">
        <f t="shared" si="0"/>
        <v>10.966666666666667</v>
      </c>
      <c r="H25" s="102">
        <f>'прил.1'!AC25/1.2</f>
        <v>10.966666666666667</v>
      </c>
      <c r="I25" s="123"/>
      <c r="J25" s="124"/>
      <c r="K25" s="102">
        <f t="shared" si="1"/>
        <v>10.966666666666667</v>
      </c>
      <c r="L25" s="123">
        <f>'прил.1'!N25/1.2</f>
        <v>0</v>
      </c>
      <c r="M25" s="123">
        <f>'прил.1'!S25/1.2</f>
        <v>5.375</v>
      </c>
      <c r="N25" s="123">
        <f>'прил.1'!X25/1.2</f>
        <v>5.591666666666667</v>
      </c>
      <c r="O25" s="123">
        <f t="shared" si="2"/>
        <v>10.966666666666667</v>
      </c>
    </row>
    <row r="26" spans="1:15" ht="32.25" customHeight="1">
      <c r="A26" s="12" t="s">
        <v>84</v>
      </c>
      <c r="B26" s="108" t="str">
        <f>'прил.1'!B26</f>
        <v>Сервер HPE ProLiant DL560 Gen10 (4xXeon Gold 6254, DDR 512 Gb, SAS SSD)</v>
      </c>
      <c r="C26" s="101" t="str">
        <f>'прил.1'!C26</f>
        <v>M_ТАЭС.12</v>
      </c>
      <c r="D26" s="113">
        <f>'прил.1'!D26</f>
        <v>2024</v>
      </c>
      <c r="E26" s="113">
        <f>'прил.1'!E26</f>
        <v>2025</v>
      </c>
      <c r="F26" s="102">
        <f>'прил.1'!G26/1.2</f>
        <v>26.418883988888915</v>
      </c>
      <c r="G26" s="102">
        <f t="shared" si="0"/>
        <v>28.850000000000005</v>
      </c>
      <c r="H26" s="102">
        <f>'прил.1'!AC26/1.2</f>
        <v>28.850000000000005</v>
      </c>
      <c r="I26" s="123"/>
      <c r="J26" s="124"/>
      <c r="K26" s="102">
        <f t="shared" si="1"/>
        <v>28.850000000000005</v>
      </c>
      <c r="L26" s="123">
        <f>'прил.1'!N26/1.2</f>
        <v>0</v>
      </c>
      <c r="M26" s="123">
        <f>'прил.1'!S26/1.2</f>
        <v>21.425</v>
      </c>
      <c r="N26" s="123">
        <f>'прил.1'!X26/1.2</f>
        <v>7.425000000000001</v>
      </c>
      <c r="O26" s="123">
        <f t="shared" si="2"/>
        <v>28.85</v>
      </c>
    </row>
    <row r="27" spans="1:15" ht="28.5" customHeight="1">
      <c r="A27" s="12" t="s">
        <v>174</v>
      </c>
      <c r="B27" s="108" t="str">
        <f>'прил.1'!B27</f>
        <v>Модернизация КСПД</v>
      </c>
      <c r="C27" s="101" t="str">
        <f>'прил.1'!C27</f>
        <v>M_ТАЭС.13</v>
      </c>
      <c r="D27" s="113">
        <f>'прил.1'!D27</f>
        <v>2025</v>
      </c>
      <c r="E27" s="113">
        <f>'прил.1'!E27</f>
        <v>2025</v>
      </c>
      <c r="F27" s="102">
        <f>'прил.1'!G27/1.2</f>
        <v>7.011889166666667</v>
      </c>
      <c r="G27" s="102">
        <f t="shared" si="0"/>
        <v>7.883333333333335</v>
      </c>
      <c r="H27" s="102">
        <f>'прил.1'!AC27/1.2</f>
        <v>7.883333333333335</v>
      </c>
      <c r="I27" s="123"/>
      <c r="J27" s="124"/>
      <c r="K27" s="102">
        <f aca="true" t="shared" si="3" ref="K27:K33">G27</f>
        <v>7.883333333333335</v>
      </c>
      <c r="L27" s="123">
        <f>'прил.1'!N27/1.2</f>
        <v>0</v>
      </c>
      <c r="M27" s="123">
        <f>'прил.1'!S27/1.2</f>
        <v>0</v>
      </c>
      <c r="N27" s="123">
        <f>'прил.1'!X27/1.2</f>
        <v>7.883333333333335</v>
      </c>
      <c r="O27" s="123">
        <f aca="true" t="shared" si="4" ref="O27:O33">L27+M27+N27</f>
        <v>7.883333333333335</v>
      </c>
    </row>
    <row r="28" spans="1:15" ht="39.75" customHeight="1">
      <c r="A28" s="12" t="s">
        <v>175</v>
      </c>
      <c r="B28" s="108" t="str">
        <f>'прил.1'!B28</f>
        <v>Модернизация системы телефонной связи Avaya</v>
      </c>
      <c r="C28" s="101" t="str">
        <f>'прил.1'!C28</f>
        <v>M_ТАЭС.14</v>
      </c>
      <c r="D28" s="113">
        <f>'прил.1'!D28</f>
        <v>2024</v>
      </c>
      <c r="E28" s="113">
        <f>'прил.1'!E28</f>
        <v>2024</v>
      </c>
      <c r="F28" s="102">
        <f>'прил.1'!G28/1.2</f>
        <v>6.041059788888892</v>
      </c>
      <c r="G28" s="102">
        <f t="shared" si="0"/>
        <v>6.533333333333333</v>
      </c>
      <c r="H28" s="102">
        <f>'прил.1'!AC28/1.2</f>
        <v>6.533333333333333</v>
      </c>
      <c r="I28" s="123"/>
      <c r="J28" s="124"/>
      <c r="K28" s="102">
        <f t="shared" si="3"/>
        <v>6.533333333333333</v>
      </c>
      <c r="L28" s="123">
        <f>'прил.1'!N28/1.2</f>
        <v>0</v>
      </c>
      <c r="M28" s="123">
        <f>'прил.1'!S28/1.2</f>
        <v>6.533333333333333</v>
      </c>
      <c r="N28" s="123">
        <f>'прил.1'!X28/1.2</f>
        <v>0</v>
      </c>
      <c r="O28" s="123">
        <f t="shared" si="4"/>
        <v>6.533333333333333</v>
      </c>
    </row>
    <row r="29" spans="1:15" ht="27" customHeight="1">
      <c r="A29" s="12" t="s">
        <v>176</v>
      </c>
      <c r="B29" s="108" t="str">
        <f>'прил.1'!B29</f>
        <v>Модернизация системы телефонной связи</v>
      </c>
      <c r="C29" s="101" t="str">
        <f>'прил.1'!C29</f>
        <v>M_ТАЭС.15</v>
      </c>
      <c r="D29" s="113">
        <f>'прил.1'!D29</f>
        <v>2025</v>
      </c>
      <c r="E29" s="113">
        <f>'прил.1'!E29</f>
        <v>2025</v>
      </c>
      <c r="F29" s="102">
        <f>'прил.1'!G29/1.2</f>
        <v>6.217273333333333</v>
      </c>
      <c r="G29" s="102">
        <f t="shared" si="0"/>
        <v>6.991666666666667</v>
      </c>
      <c r="H29" s="102">
        <f>'прил.1'!AC29/1.2</f>
        <v>6.991666666666667</v>
      </c>
      <c r="I29" s="123"/>
      <c r="J29" s="124"/>
      <c r="K29" s="102">
        <f t="shared" si="3"/>
        <v>6.991666666666667</v>
      </c>
      <c r="L29" s="123">
        <f>'прил.1'!N29/1.2</f>
        <v>0</v>
      </c>
      <c r="M29" s="123">
        <f>'прил.1'!S29/1.2</f>
        <v>0</v>
      </c>
      <c r="N29" s="123">
        <f>'прил.1'!X29/1.2</f>
        <v>6.991666666666667</v>
      </c>
      <c r="O29" s="123">
        <f t="shared" si="4"/>
        <v>6.991666666666667</v>
      </c>
    </row>
    <row r="30" spans="1:15" ht="26.25" customHeight="1">
      <c r="A30" s="12" t="s">
        <v>177</v>
      </c>
      <c r="B30" s="108" t="str">
        <f>'прил.1'!B30</f>
        <v>Модернизация ВКС</v>
      </c>
      <c r="C30" s="101" t="str">
        <f>'прил.1'!C30</f>
        <v>M_ТАЭС.16</v>
      </c>
      <c r="D30" s="113">
        <f>'прил.1'!D30</f>
        <v>2025</v>
      </c>
      <c r="E30" s="113">
        <f>'прил.1'!E30</f>
        <v>2025</v>
      </c>
      <c r="F30" s="102">
        <f>'прил.1'!G30/1.2</f>
        <v>1.6845777777777748</v>
      </c>
      <c r="G30" s="102">
        <f t="shared" si="0"/>
        <v>1.8916666666666668</v>
      </c>
      <c r="H30" s="102">
        <f>'прил.1'!AC30/1.2</f>
        <v>1.8916666666666668</v>
      </c>
      <c r="I30" s="123"/>
      <c r="J30" s="124"/>
      <c r="K30" s="102">
        <f t="shared" si="3"/>
        <v>1.8916666666666668</v>
      </c>
      <c r="L30" s="123">
        <f>'прил.1'!N30/1.2</f>
        <v>0</v>
      </c>
      <c r="M30" s="123">
        <f>'прил.1'!S30/1.2</f>
        <v>0</v>
      </c>
      <c r="N30" s="123">
        <f>'прил.1'!X30/1.2</f>
        <v>1.8916666666666668</v>
      </c>
      <c r="O30" s="123">
        <f t="shared" si="4"/>
        <v>1.8916666666666668</v>
      </c>
    </row>
    <row r="31" spans="1:15" ht="21" customHeight="1">
      <c r="A31" s="12" t="s">
        <v>178</v>
      </c>
      <c r="B31" s="108" t="str">
        <f>'прил.1'!B31</f>
        <v>LED ДИСПЛЕЙ PHILIPS 43BDL4051D/00</v>
      </c>
      <c r="C31" s="101" t="str">
        <f>'прил.1'!C31</f>
        <v>M_ТАЭС.17</v>
      </c>
      <c r="D31" s="113">
        <f>'прил.1'!D31</f>
        <v>2025</v>
      </c>
      <c r="E31" s="113">
        <f>'прил.1'!E31</f>
        <v>2025</v>
      </c>
      <c r="F31" s="102">
        <f>'прил.1'!G31/1.2</f>
        <v>0.49058888888888913</v>
      </c>
      <c r="G31" s="102">
        <f t="shared" si="0"/>
        <v>0.55</v>
      </c>
      <c r="H31" s="102">
        <f>'прил.1'!AC31/1.2</f>
        <v>0.55</v>
      </c>
      <c r="I31" s="123"/>
      <c r="J31" s="124"/>
      <c r="K31" s="102">
        <f t="shared" si="3"/>
        <v>0.55</v>
      </c>
      <c r="L31" s="123">
        <f>'прил.1'!N31/1.2</f>
        <v>0</v>
      </c>
      <c r="M31" s="123">
        <f>'прил.1'!S31/1.2</f>
        <v>0</v>
      </c>
      <c r="N31" s="123">
        <f>'прил.1'!X31/1.2</f>
        <v>0.55</v>
      </c>
      <c r="O31" s="123">
        <f t="shared" si="4"/>
        <v>0.55</v>
      </c>
    </row>
    <row r="32" spans="1:15" ht="19.5" customHeight="1">
      <c r="A32" s="12" t="s">
        <v>179</v>
      </c>
      <c r="B32" s="108" t="str">
        <f>'прил.1'!B32</f>
        <v>Проектор Epson EB-992F</v>
      </c>
      <c r="C32" s="101" t="str">
        <f>'прил.1'!C32</f>
        <v>M_ТАЭС.18</v>
      </c>
      <c r="D32" s="113">
        <f>'прил.1'!D32</f>
        <v>2025</v>
      </c>
      <c r="E32" s="113">
        <f>'прил.1'!E32</f>
        <v>2025</v>
      </c>
      <c r="F32" s="102">
        <f>'прил.1'!G32/1.2</f>
        <v>0.10103138888888917</v>
      </c>
      <c r="G32" s="102">
        <f t="shared" si="0"/>
        <v>0.11666666666666668</v>
      </c>
      <c r="H32" s="102">
        <f>'прил.1'!AC32/1.2</f>
        <v>0.11666666666666668</v>
      </c>
      <c r="I32" s="123">
        <v>0</v>
      </c>
      <c r="J32" s="124"/>
      <c r="K32" s="102">
        <f t="shared" si="3"/>
        <v>0.11666666666666668</v>
      </c>
      <c r="L32" s="123">
        <f>'прил.1'!N32/1.2</f>
        <v>0</v>
      </c>
      <c r="M32" s="123">
        <f>'прил.1'!S32/1.2</f>
        <v>0</v>
      </c>
      <c r="N32" s="123">
        <f>'прил.1'!X32/1.2</f>
        <v>0.11666666666666668</v>
      </c>
      <c r="O32" s="123">
        <f t="shared" si="4"/>
        <v>0.11666666666666668</v>
      </c>
    </row>
    <row r="33" spans="1:15" ht="39.75" customHeight="1">
      <c r="A33" s="12" t="s">
        <v>180</v>
      </c>
      <c r="B33" s="108" t="str">
        <f>'прил.1'!B33</f>
        <v>Ноутбук APPLE MacBook Air 13.3", MVH42RU/A</v>
      </c>
      <c r="C33" s="101" t="str">
        <f>'прил.1'!C33</f>
        <v>M_ТАЭС.19</v>
      </c>
      <c r="D33" s="113">
        <f>'прил.1'!D33</f>
        <v>2025</v>
      </c>
      <c r="E33" s="113">
        <f>'прил.1'!E33</f>
        <v>2025</v>
      </c>
      <c r="F33" s="102">
        <f>'прил.1'!G33/1.2</f>
        <v>0.2569944444444442</v>
      </c>
      <c r="G33" s="102">
        <f t="shared" si="0"/>
        <v>0.2916666666666667</v>
      </c>
      <c r="H33" s="102">
        <f>'прил.1'!AC33/1.2</f>
        <v>0.2916666666666667</v>
      </c>
      <c r="I33" s="123">
        <v>0</v>
      </c>
      <c r="J33" s="124"/>
      <c r="K33" s="102">
        <f t="shared" si="3"/>
        <v>0.2916666666666667</v>
      </c>
      <c r="L33" s="123">
        <f>'прил.1'!N33/1.2</f>
        <v>0</v>
      </c>
      <c r="M33" s="123">
        <f>'прил.1'!S33/1.2</f>
        <v>0</v>
      </c>
      <c r="N33" s="123">
        <f>'прил.1'!X33/1.2</f>
        <v>0.2916666666666667</v>
      </c>
      <c r="O33" s="123">
        <f t="shared" si="4"/>
        <v>0.2916666666666667</v>
      </c>
    </row>
    <row r="34" spans="1:15" ht="31.5">
      <c r="A34" s="142">
        <v>3</v>
      </c>
      <c r="B34" s="106" t="s">
        <v>125</v>
      </c>
      <c r="C34" s="105"/>
      <c r="D34" s="114"/>
      <c r="E34" s="114"/>
      <c r="F34" s="102"/>
      <c r="G34" s="98"/>
      <c r="H34" s="98"/>
      <c r="I34" s="123"/>
      <c r="J34" s="124"/>
      <c r="K34" s="98"/>
      <c r="L34" s="123"/>
      <c r="M34" s="123"/>
      <c r="N34" s="123"/>
      <c r="O34" s="123"/>
    </row>
    <row r="35" spans="1:15" ht="15.75">
      <c r="A35" s="12" t="s">
        <v>153</v>
      </c>
      <c r="B35" s="109" t="str">
        <f>'прил.1'!B35</f>
        <v>Оснащение интеллектуальной системой учета</v>
      </c>
      <c r="C35" s="162" t="str">
        <f>'прил.1'!C35</f>
        <v>M_ТАЭС.20</v>
      </c>
      <c r="D35" s="148">
        <f>'прил.1'!D35</f>
        <v>2023</v>
      </c>
      <c r="E35" s="148">
        <f>'прил.1'!E35</f>
        <v>2025</v>
      </c>
      <c r="F35" s="102">
        <f>'прил.1'!G35/1.2</f>
        <v>482.401879302665</v>
      </c>
      <c r="G35" s="102">
        <f aca="true" t="shared" si="5" ref="G35:G44">H35+I35</f>
        <v>523.3346335753585</v>
      </c>
      <c r="H35" s="102">
        <f>H36+H37+H38+H39+H40+H41+H42+H43</f>
        <v>426.541816201109</v>
      </c>
      <c r="I35" s="123">
        <f>I36+I37+I38+I39+I40+I41+I42+I43</f>
        <v>96.7928173742495</v>
      </c>
      <c r="J35" s="124"/>
      <c r="K35" s="102">
        <f aca="true" t="shared" si="6" ref="K35:K44">G35</f>
        <v>523.3346335753585</v>
      </c>
      <c r="L35" s="123">
        <f>'прил.1'!N35/1.2</f>
        <v>151.21666666666667</v>
      </c>
      <c r="M35" s="123">
        <f>'прил.1'!S35/1.2</f>
        <v>174.06666666666666</v>
      </c>
      <c r="N35" s="123">
        <f>'прил.1'!X35/1.2</f>
        <v>198.05</v>
      </c>
      <c r="O35" s="123">
        <f aca="true" t="shared" si="7" ref="O35:O44">L35+M35+N35</f>
        <v>523.3333333333333</v>
      </c>
    </row>
    <row r="36" spans="1:15" s="135" customFormat="1" ht="15.75">
      <c r="A36" s="128" t="s">
        <v>159</v>
      </c>
      <c r="B36" s="134" t="str">
        <f>'прил.1'!B36</f>
        <v>Электросчетчик однофазный</v>
      </c>
      <c r="C36" s="163">
        <f>'прил.1'!C36</f>
        <v>0</v>
      </c>
      <c r="D36" s="149"/>
      <c r="E36" s="149"/>
      <c r="F36" s="144">
        <f>'прил.1'!G36/1.2</f>
        <v>349.02288120624996</v>
      </c>
      <c r="G36" s="144">
        <f>H36+I36</f>
        <v>378.63816379983706</v>
      </c>
      <c r="H36" s="144">
        <f>'прил.1'!AC36/1.2</f>
        <v>378.63816379983706</v>
      </c>
      <c r="I36" s="145">
        <v>0</v>
      </c>
      <c r="J36" s="141"/>
      <c r="K36" s="140">
        <f t="shared" si="6"/>
        <v>378.63816379983706</v>
      </c>
      <c r="L36" s="141">
        <f>'прил.1'!N36/1.2</f>
        <v>109.40749565416667</v>
      </c>
      <c r="M36" s="141">
        <f>'прил.1'!S36/1.2</f>
        <v>125.93646999925333</v>
      </c>
      <c r="N36" s="141">
        <f>'прил.1'!X36/1.2</f>
        <v>143.29419814641707</v>
      </c>
      <c r="O36" s="141">
        <f t="shared" si="7"/>
        <v>378.6381637998371</v>
      </c>
    </row>
    <row r="37" spans="1:15" s="135" customFormat="1" ht="15.75">
      <c r="A37" s="136" t="s">
        <v>163</v>
      </c>
      <c r="B37" s="134" t="str">
        <f>'прил.1'!B37</f>
        <v>Электросчетчик трехфазный</v>
      </c>
      <c r="C37" s="163">
        <f>'прил.1'!C37</f>
        <v>0</v>
      </c>
      <c r="D37" s="149"/>
      <c r="E37" s="149"/>
      <c r="F37" s="144">
        <f>'прил.1'!G37/1.2</f>
        <v>16.443387885303032</v>
      </c>
      <c r="G37" s="144">
        <f t="shared" si="5"/>
        <v>17.838641908008338</v>
      </c>
      <c r="H37" s="144">
        <f>'прил.1'!AC37/1.2</f>
        <v>17.838641908008338</v>
      </c>
      <c r="I37" s="145">
        <v>0</v>
      </c>
      <c r="J37" s="141"/>
      <c r="K37" s="140">
        <f t="shared" si="6"/>
        <v>17.838641908008338</v>
      </c>
      <c r="L37" s="141">
        <f>'прил.1'!N37/1.2</f>
        <v>5.154475495656566</v>
      </c>
      <c r="M37" s="141">
        <f>'прил.1'!S37/1.2</f>
        <v>5.93319904398998</v>
      </c>
      <c r="N37" s="141">
        <f>'прил.1'!X37/1.2</f>
        <v>6.750967368361788</v>
      </c>
      <c r="O37" s="141">
        <f t="shared" si="7"/>
        <v>17.838641908008334</v>
      </c>
    </row>
    <row r="38" spans="1:15" s="135" customFormat="1" ht="15.75">
      <c r="A38" s="136" t="s">
        <v>164</v>
      </c>
      <c r="B38" s="134" t="str">
        <f>'прил.1'!B38</f>
        <v>Устройство сбора и передачи данных </v>
      </c>
      <c r="C38" s="163">
        <f>'прил.1'!C38</f>
        <v>0</v>
      </c>
      <c r="D38" s="149"/>
      <c r="E38" s="149"/>
      <c r="F38" s="144">
        <f>'прил.1'!G38/1.2</f>
        <v>26.061971575492425</v>
      </c>
      <c r="G38" s="144">
        <f t="shared" si="5"/>
        <v>28.273381470702528</v>
      </c>
      <c r="H38" s="144">
        <f>'прил.1'!AC38/1.2</f>
        <v>28.273381470702528</v>
      </c>
      <c r="I38" s="145">
        <v>0</v>
      </c>
      <c r="J38" s="141"/>
      <c r="K38" s="140">
        <f t="shared" si="6"/>
        <v>28.273381470702528</v>
      </c>
      <c r="L38" s="141">
        <f>'прил.1'!N38/1.2</f>
        <v>8.169593443358586</v>
      </c>
      <c r="M38" s="141">
        <f>'прил.1'!S38/1.2</f>
        <v>9.40383246535305</v>
      </c>
      <c r="N38" s="141">
        <f>'прил.1'!X38/1.2</f>
        <v>10.699955561990892</v>
      </c>
      <c r="O38" s="141">
        <f t="shared" si="7"/>
        <v>28.273381470702525</v>
      </c>
    </row>
    <row r="39" spans="1:15" s="135" customFormat="1" ht="15.75">
      <c r="A39" s="136" t="s">
        <v>165</v>
      </c>
      <c r="B39" s="134" t="str">
        <f>'прил.1'!B39</f>
        <v>Серверное оборудование</v>
      </c>
      <c r="C39" s="163">
        <f>'прил.1'!C39</f>
        <v>0</v>
      </c>
      <c r="D39" s="149"/>
      <c r="E39" s="149"/>
      <c r="F39" s="144">
        <f>'прил.1'!G39/1.2</f>
        <v>0</v>
      </c>
      <c r="G39" s="144">
        <f t="shared" si="5"/>
        <v>0</v>
      </c>
      <c r="H39" s="144">
        <f>'прил.1'!AC39/1.2</f>
        <v>0</v>
      </c>
      <c r="I39" s="145">
        <v>0</v>
      </c>
      <c r="J39" s="141"/>
      <c r="K39" s="140">
        <f t="shared" si="6"/>
        <v>0</v>
      </c>
      <c r="L39" s="141">
        <f>'прил.1'!N39/1.2</f>
        <v>0</v>
      </c>
      <c r="M39" s="141">
        <f>'прил.1'!S39/1.2</f>
        <v>0</v>
      </c>
      <c r="N39" s="141">
        <f>'прил.1'!X39/1.2</f>
        <v>0</v>
      </c>
      <c r="O39" s="141">
        <f t="shared" si="7"/>
        <v>0</v>
      </c>
    </row>
    <row r="40" spans="1:15" s="135" customFormat="1" ht="15.75">
      <c r="A40" s="136" t="s">
        <v>166</v>
      </c>
      <c r="B40" s="134" t="str">
        <f>'прил.1'!B40</f>
        <v>ПИР</v>
      </c>
      <c r="C40" s="163">
        <f>'прил.1'!C40</f>
        <v>0</v>
      </c>
      <c r="D40" s="149"/>
      <c r="E40" s="149"/>
      <c r="F40" s="144">
        <f>'прил.1'!G40/1.2</f>
        <v>2.3946681386363635</v>
      </c>
      <c r="G40" s="144">
        <f t="shared" si="5"/>
        <v>2.5978604720400487</v>
      </c>
      <c r="H40" s="144">
        <v>0</v>
      </c>
      <c r="I40" s="144">
        <f>'прил.1'!AC40/1.2</f>
        <v>2.5978604720400487</v>
      </c>
      <c r="J40" s="141"/>
      <c r="K40" s="140">
        <f t="shared" si="6"/>
        <v>2.5978604720400487</v>
      </c>
      <c r="L40" s="141">
        <f>'прил.1'!N40/1.2</f>
        <v>0.7506517712121212</v>
      </c>
      <c r="M40" s="141">
        <f>'прил.1'!S40/1.2</f>
        <v>0.8640581132024243</v>
      </c>
      <c r="N40" s="141">
        <f>'прил.1'!X40/1.2</f>
        <v>0.983150587625503</v>
      </c>
      <c r="O40" s="141">
        <f t="shared" si="7"/>
        <v>2.5978604720400487</v>
      </c>
    </row>
    <row r="41" spans="1:15" s="135" customFormat="1" ht="15.75">
      <c r="A41" s="136" t="s">
        <v>167</v>
      </c>
      <c r="B41" s="134" t="str">
        <f>'прил.1'!B41</f>
        <v>Материалы</v>
      </c>
      <c r="C41" s="163">
        <f>'прил.1'!C41</f>
        <v>0</v>
      </c>
      <c r="D41" s="149"/>
      <c r="E41" s="149"/>
      <c r="F41" s="144">
        <f>'прил.1'!G41/1.2</f>
        <v>0</v>
      </c>
      <c r="G41" s="144">
        <f t="shared" si="5"/>
        <v>0</v>
      </c>
      <c r="H41" s="144">
        <f>'прил.1'!AC41/1.2</f>
        <v>0</v>
      </c>
      <c r="I41" s="144">
        <v>0</v>
      </c>
      <c r="J41" s="141"/>
      <c r="K41" s="140">
        <f t="shared" si="6"/>
        <v>0</v>
      </c>
      <c r="L41" s="141">
        <f>'прил.1'!N41/1.2</f>
        <v>0</v>
      </c>
      <c r="M41" s="141">
        <f>'прил.1'!S41/1.2</f>
        <v>0</v>
      </c>
      <c r="N41" s="141">
        <f>'прил.1'!X41/1.2</f>
        <v>0</v>
      </c>
      <c r="O41" s="141">
        <f t="shared" si="7"/>
        <v>0</v>
      </c>
    </row>
    <row r="42" spans="1:15" s="135" customFormat="1" ht="15.75">
      <c r="A42" s="136" t="s">
        <v>168</v>
      </c>
      <c r="B42" s="134" t="str">
        <f>'прил.1'!B42</f>
        <v>СМР, ПНР</v>
      </c>
      <c r="C42" s="163">
        <f>'прил.1'!C42</f>
        <v>0</v>
      </c>
      <c r="D42" s="149"/>
      <c r="E42" s="149"/>
      <c r="F42" s="144">
        <f>'прил.1'!G42/1.2</f>
        <v>86.82747381610304</v>
      </c>
      <c r="G42" s="144">
        <f t="shared" si="5"/>
        <v>94.19495690220944</v>
      </c>
      <c r="H42" s="144">
        <v>0</v>
      </c>
      <c r="I42" s="144">
        <f>'прил.1'!AC42/1.2</f>
        <v>94.19495690220944</v>
      </c>
      <c r="J42" s="141"/>
      <c r="K42" s="140">
        <f t="shared" si="6"/>
        <v>94.19495690220944</v>
      </c>
      <c r="L42" s="141">
        <f>'прил.1'!N42/1.2</f>
        <v>27.217632355123236</v>
      </c>
      <c r="M42" s="141">
        <f>'прил.1'!S42/1.2</f>
        <v>31.32959510723564</v>
      </c>
      <c r="N42" s="141">
        <f>'прил.1'!X42/1.2</f>
        <v>35.64772943985057</v>
      </c>
      <c r="O42" s="141">
        <f t="shared" si="7"/>
        <v>94.19495690220944</v>
      </c>
    </row>
    <row r="43" spans="1:15" s="135" customFormat="1" ht="15.75">
      <c r="A43" s="136" t="s">
        <v>169</v>
      </c>
      <c r="B43" s="134" t="str">
        <f>'прил.1'!B43</f>
        <v>Трансформатор тока</v>
      </c>
      <c r="C43" s="164">
        <f>'прил.1'!C43</f>
        <v>0</v>
      </c>
      <c r="D43" s="150"/>
      <c r="E43" s="150"/>
      <c r="F43" s="144">
        <f>'прил.1'!G43/1.2</f>
        <v>1.6514962919521445</v>
      </c>
      <c r="G43" s="144">
        <f t="shared" si="5"/>
        <v>1.791629022561063</v>
      </c>
      <c r="H43" s="144">
        <f>'прил.1'!AC43/1.2</f>
        <v>1.791629022561063</v>
      </c>
      <c r="I43" s="145">
        <v>0</v>
      </c>
      <c r="J43" s="141"/>
      <c r="K43" s="140">
        <f t="shared" si="6"/>
        <v>1.791629022561063</v>
      </c>
      <c r="L43" s="141">
        <f>'прил.1'!N43/1.2</f>
        <v>0.5176911976663583</v>
      </c>
      <c r="M43" s="141">
        <f>'прил.1'!S43/1.2</f>
        <v>0.5959025164954858</v>
      </c>
      <c r="N43" s="141">
        <f>'прил.1'!X43/1.2</f>
        <v>0.6780353083992189</v>
      </c>
      <c r="O43" s="141">
        <f t="shared" si="7"/>
        <v>1.7916290225610632</v>
      </c>
    </row>
    <row r="44" spans="1:15" ht="21.75" customHeight="1">
      <c r="A44" s="12" t="s">
        <v>127</v>
      </c>
      <c r="B44" s="104" t="str">
        <f>'прил.1'!B44</f>
        <v>Покупка здания в г. Тверь</v>
      </c>
      <c r="C44" s="101" t="str">
        <f>'прил.1'!C44</f>
        <v>M_ТАЭС.21</v>
      </c>
      <c r="D44" s="113">
        <f>'прил.1'!D44</f>
        <v>2023</v>
      </c>
      <c r="E44" s="113">
        <f>'прил.1'!E44</f>
        <v>2023</v>
      </c>
      <c r="F44" s="102">
        <f>'прил.1'!G44/1.2</f>
        <v>121.73238311666668</v>
      </c>
      <c r="G44" s="102">
        <f t="shared" si="5"/>
        <v>126.6</v>
      </c>
      <c r="H44" s="102">
        <f>'прил.1'!AC44/1.2</f>
        <v>126.6</v>
      </c>
      <c r="I44" s="123">
        <v>0</v>
      </c>
      <c r="J44" s="124"/>
      <c r="K44" s="102">
        <f t="shared" si="6"/>
        <v>126.6</v>
      </c>
      <c r="L44" s="123">
        <f>'прил.1'!N44/1.2</f>
        <v>126.6</v>
      </c>
      <c r="M44" s="123">
        <f>'прил.1'!S44/1.2</f>
        <v>0</v>
      </c>
      <c r="N44" s="123">
        <f>'прил.1'!X44</f>
        <v>0</v>
      </c>
      <c r="O44" s="123">
        <f t="shared" si="7"/>
        <v>126.6</v>
      </c>
    </row>
    <row r="45" spans="1:15" ht="15.75">
      <c r="A45" s="48"/>
      <c r="B45" s="49"/>
      <c r="C45" s="29"/>
      <c r="D45" s="29"/>
      <c r="E45" s="29"/>
      <c r="F45" s="111">
        <f>SUM(F14:F44)-F36-F37-F38-F43-F39-F40-F41-F42</f>
        <v>711.6293943804427</v>
      </c>
      <c r="G45" s="111">
        <f>SUM(G14:G44)-G36-G37-G38-G43-G39-G40-G41-G42</f>
        <v>767.4929669086919</v>
      </c>
      <c r="H45" s="111">
        <f>SUM(H14:H44)-H36-H37-H38-H43-H39-H40-H41-H42</f>
        <v>670.7001495344424</v>
      </c>
      <c r="I45" s="111">
        <f>SUM(I14:I44)-I36-I37-I38-I43-I39-I40-I41-I42</f>
        <v>96.7928173742495</v>
      </c>
      <c r="J45" s="125"/>
      <c r="K45" s="111">
        <f>SUM(K14:K44)-K36-K37-K38-K43-K39-K40-K41-K42</f>
        <v>767.4929669086919</v>
      </c>
      <c r="L45" s="111">
        <f>SUM(L14:L44)-L36-L37-L38-L43-L39-L40-L41-L42</f>
        <v>287.80833333333334</v>
      </c>
      <c r="M45" s="111">
        <f>SUM(M14:M44)-M36-M37-M38-M43-M39-M40-M41-M42</f>
        <v>237.17500000000004</v>
      </c>
      <c r="N45" s="111">
        <f>SUM(N14:N44)-N36-N37-N38-N43-N39-N40-N41-N42</f>
        <v>242.50833333333335</v>
      </c>
      <c r="O45" s="111">
        <f>SUM(O14:O44)-O36-O37-O38-O43-O39-O40-O41-O42</f>
        <v>767.4916666666667</v>
      </c>
    </row>
    <row r="46" spans="1:15" ht="15.75">
      <c r="A46" s="48"/>
      <c r="B46" s="49"/>
      <c r="C46" s="29"/>
      <c r="D46" s="29"/>
      <c r="E46" s="29"/>
      <c r="F46" s="29"/>
      <c r="G46" s="29"/>
      <c r="H46" s="29"/>
      <c r="I46" s="29"/>
      <c r="J46" s="66"/>
      <c r="K46" s="29"/>
      <c r="L46" s="29"/>
      <c r="M46" s="29"/>
      <c r="N46" s="29"/>
      <c r="O46" s="29"/>
    </row>
    <row r="47" spans="1:15" ht="15.75">
      <c r="A47" s="48"/>
      <c r="B47" s="49"/>
      <c r="C47" s="29"/>
      <c r="D47" s="29"/>
      <c r="E47" s="29"/>
      <c r="F47" s="29"/>
      <c r="G47" s="29"/>
      <c r="H47" s="29"/>
      <c r="I47" s="29"/>
      <c r="J47" s="66"/>
      <c r="K47" s="29"/>
      <c r="L47" s="29"/>
      <c r="M47" s="29"/>
      <c r="N47" s="29"/>
      <c r="O47" s="29"/>
    </row>
    <row r="48" spans="1:15" ht="15.75">
      <c r="A48" s="48"/>
      <c r="B48" s="49"/>
      <c r="C48" s="29"/>
      <c r="D48" s="29"/>
      <c r="E48" s="29"/>
      <c r="F48" s="29"/>
      <c r="G48" s="29"/>
      <c r="H48" s="29"/>
      <c r="I48" s="29"/>
      <c r="J48" s="66"/>
      <c r="K48" s="29"/>
      <c r="L48" s="146">
        <f>'[2]ИП'!H$97</f>
        <v>287.80833333333334</v>
      </c>
      <c r="M48" s="146">
        <f>'[2]ИП'!I$97</f>
        <v>237.175</v>
      </c>
      <c r="N48" s="146">
        <f>'[2]ИП'!J$97</f>
        <v>242.50833333333333</v>
      </c>
      <c r="O48" s="146">
        <f>'[2]ИП'!K$97</f>
        <v>767.4916666666667</v>
      </c>
    </row>
    <row r="49" spans="1:15" ht="15.75">
      <c r="A49" s="48"/>
      <c r="B49" s="49"/>
      <c r="C49" s="29"/>
      <c r="D49" s="29"/>
      <c r="E49" s="29"/>
      <c r="F49" s="29"/>
      <c r="G49" s="29"/>
      <c r="H49" s="29"/>
      <c r="I49" s="29"/>
      <c r="J49" s="66"/>
      <c r="K49" s="29"/>
      <c r="L49" s="146">
        <f>L45-L48</f>
        <v>0</v>
      </c>
      <c r="M49" s="146">
        <f>M45-M48</f>
        <v>0</v>
      </c>
      <c r="N49" s="146">
        <f>N45-N48</f>
        <v>0</v>
      </c>
      <c r="O49" s="146">
        <f>O45-O48</f>
        <v>0</v>
      </c>
    </row>
    <row r="50" spans="1:15" ht="15.75">
      <c r="A50" s="48"/>
      <c r="B50" s="49"/>
      <c r="C50" s="29"/>
      <c r="D50" s="29"/>
      <c r="E50" s="29"/>
      <c r="F50" s="29"/>
      <c r="G50" s="29"/>
      <c r="H50" s="29"/>
      <c r="I50" s="29"/>
      <c r="J50" s="66"/>
      <c r="K50" s="29"/>
      <c r="L50" s="29"/>
      <c r="M50" s="29"/>
      <c r="N50" s="29"/>
      <c r="O50" s="29"/>
    </row>
    <row r="51" spans="1:15" ht="15.75">
      <c r="A51" s="48"/>
      <c r="B51" s="49"/>
      <c r="C51" s="29"/>
      <c r="D51" s="29"/>
      <c r="E51" s="29"/>
      <c r="F51" s="29"/>
      <c r="G51" s="29"/>
      <c r="H51" s="29"/>
      <c r="I51" s="29"/>
      <c r="J51" s="66"/>
      <c r="K51" s="29"/>
      <c r="L51" s="29"/>
      <c r="M51" s="29"/>
      <c r="N51" s="29"/>
      <c r="O51" s="29"/>
    </row>
    <row r="52" spans="1:15" ht="15.75">
      <c r="A52" s="48"/>
      <c r="B52" s="49"/>
      <c r="C52" s="29"/>
      <c r="D52" s="29"/>
      <c r="E52" s="29"/>
      <c r="F52" s="29"/>
      <c r="G52" s="29"/>
      <c r="H52" s="29"/>
      <c r="I52" s="29"/>
      <c r="J52" s="66"/>
      <c r="K52" s="29"/>
      <c r="L52" s="29"/>
      <c r="M52" s="29"/>
      <c r="N52" s="29"/>
      <c r="O52" s="29"/>
    </row>
    <row r="53" spans="1:15" ht="15.75">
      <c r="A53" s="48"/>
      <c r="B53" s="49"/>
      <c r="C53" s="29"/>
      <c r="D53" s="29"/>
      <c r="E53" s="29"/>
      <c r="F53" s="29"/>
      <c r="G53" s="29"/>
      <c r="H53" s="29"/>
      <c r="I53" s="29"/>
      <c r="J53" s="66"/>
      <c r="K53" s="29"/>
      <c r="L53" s="29"/>
      <c r="M53" s="29"/>
      <c r="N53" s="29"/>
      <c r="O53" s="29"/>
    </row>
    <row r="54" spans="1:15" ht="15.75">
      <c r="A54" s="48"/>
      <c r="B54" s="49"/>
      <c r="C54" s="29"/>
      <c r="D54" s="29"/>
      <c r="E54" s="29"/>
      <c r="F54" s="29"/>
      <c r="G54" s="29"/>
      <c r="H54" s="29"/>
      <c r="I54" s="29"/>
      <c r="J54" s="66"/>
      <c r="K54" s="29"/>
      <c r="L54" s="29"/>
      <c r="M54" s="29"/>
      <c r="N54" s="29"/>
      <c r="O54" s="29"/>
    </row>
    <row r="55" spans="1:15" ht="15.75">
      <c r="A55" s="48"/>
      <c r="B55" s="49"/>
      <c r="C55" s="29"/>
      <c r="D55" s="29"/>
      <c r="E55" s="29"/>
      <c r="F55" s="29"/>
      <c r="G55" s="29"/>
      <c r="H55" s="29"/>
      <c r="I55" s="29"/>
      <c r="J55" s="66"/>
      <c r="K55" s="29"/>
      <c r="L55" s="29"/>
      <c r="M55" s="29"/>
      <c r="N55" s="29"/>
      <c r="O55" s="29"/>
    </row>
    <row r="56" spans="1:15" ht="15.75">
      <c r="A56" s="48"/>
      <c r="B56" s="49"/>
      <c r="C56" s="29"/>
      <c r="D56" s="29"/>
      <c r="E56" s="29"/>
      <c r="F56" s="29"/>
      <c r="G56" s="29"/>
      <c r="H56" s="29"/>
      <c r="I56" s="29"/>
      <c r="J56" s="66"/>
      <c r="K56" s="29"/>
      <c r="L56" s="29"/>
      <c r="M56" s="29"/>
      <c r="N56" s="29"/>
      <c r="O56" s="29"/>
    </row>
    <row r="57" spans="1:15" ht="15.75">
      <c r="A57" s="48"/>
      <c r="B57" s="49"/>
      <c r="C57" s="29"/>
      <c r="D57" s="29"/>
      <c r="E57" s="29"/>
      <c r="F57" s="29"/>
      <c r="G57" s="29"/>
      <c r="H57" s="29"/>
      <c r="I57" s="29"/>
      <c r="J57" s="66"/>
      <c r="K57" s="29"/>
      <c r="L57" s="29"/>
      <c r="M57" s="29"/>
      <c r="N57" s="29"/>
      <c r="O57" s="29"/>
    </row>
    <row r="58" spans="1:15" ht="15.75">
      <c r="A58" s="48"/>
      <c r="B58" s="49"/>
      <c r="C58" s="29"/>
      <c r="D58" s="29"/>
      <c r="E58" s="29"/>
      <c r="F58" s="29"/>
      <c r="G58" s="29"/>
      <c r="H58" s="29"/>
      <c r="I58" s="29"/>
      <c r="J58" s="66"/>
      <c r="K58" s="29"/>
      <c r="L58" s="29"/>
      <c r="M58" s="29"/>
      <c r="N58" s="29"/>
      <c r="O58" s="29"/>
    </row>
    <row r="59" spans="1:15" ht="15.75">
      <c r="A59" s="48"/>
      <c r="B59" s="49"/>
      <c r="C59" s="29"/>
      <c r="D59" s="29"/>
      <c r="E59" s="29"/>
      <c r="F59" s="29"/>
      <c r="G59" s="29"/>
      <c r="H59" s="29"/>
      <c r="I59" s="29"/>
      <c r="J59" s="66"/>
      <c r="K59" s="29"/>
      <c r="L59" s="29"/>
      <c r="M59" s="29"/>
      <c r="N59" s="29"/>
      <c r="O59" s="29"/>
    </row>
    <row r="60" spans="1:15" ht="15.75">
      <c r="A60" s="48"/>
      <c r="B60" s="49"/>
      <c r="C60" s="29"/>
      <c r="D60" s="29"/>
      <c r="E60" s="29"/>
      <c r="F60" s="29"/>
      <c r="G60" s="29"/>
      <c r="H60" s="29"/>
      <c r="I60" s="29"/>
      <c r="J60" s="66"/>
      <c r="K60" s="29"/>
      <c r="L60" s="29"/>
      <c r="M60" s="29"/>
      <c r="N60" s="29"/>
      <c r="O60" s="29"/>
    </row>
    <row r="61" spans="1:15" ht="15.75">
      <c r="A61" s="48"/>
      <c r="B61" s="49"/>
      <c r="C61" s="29"/>
      <c r="D61" s="29"/>
      <c r="E61" s="29"/>
      <c r="F61" s="29"/>
      <c r="G61" s="29"/>
      <c r="H61" s="29"/>
      <c r="I61" s="29"/>
      <c r="J61" s="66"/>
      <c r="K61" s="29"/>
      <c r="L61" s="29"/>
      <c r="M61" s="29"/>
      <c r="N61" s="29"/>
      <c r="O61" s="29"/>
    </row>
    <row r="62" spans="1:15" ht="15.75">
      <c r="A62" s="48"/>
      <c r="B62" s="49"/>
      <c r="C62" s="29"/>
      <c r="D62" s="29"/>
      <c r="E62" s="29"/>
      <c r="F62" s="29"/>
      <c r="G62" s="29"/>
      <c r="H62" s="29"/>
      <c r="I62" s="29"/>
      <c r="J62" s="66"/>
      <c r="K62" s="29"/>
      <c r="L62" s="29"/>
      <c r="M62" s="29"/>
      <c r="N62" s="29"/>
      <c r="O62" s="29"/>
    </row>
    <row r="63" spans="1:15" ht="15.75">
      <c r="A63" s="48"/>
      <c r="B63" s="49"/>
      <c r="C63" s="29"/>
      <c r="D63" s="29"/>
      <c r="E63" s="29"/>
      <c r="F63" s="29"/>
      <c r="G63" s="29"/>
      <c r="H63" s="29"/>
      <c r="I63" s="29"/>
      <c r="J63" s="66"/>
      <c r="K63" s="29"/>
      <c r="L63" s="29"/>
      <c r="M63" s="29"/>
      <c r="N63" s="29"/>
      <c r="O63" s="29"/>
    </row>
    <row r="64" spans="1:15" ht="15.75">
      <c r="A64" s="48"/>
      <c r="B64" s="49"/>
      <c r="C64" s="29"/>
      <c r="D64" s="29"/>
      <c r="E64" s="29"/>
      <c r="F64" s="29"/>
      <c r="G64" s="29"/>
      <c r="H64" s="29"/>
      <c r="I64" s="29"/>
      <c r="J64" s="66"/>
      <c r="K64" s="29"/>
      <c r="L64" s="29"/>
      <c r="M64" s="29"/>
      <c r="N64" s="29"/>
      <c r="O64" s="29"/>
    </row>
    <row r="65" spans="1:15" ht="15.75">
      <c r="A65" s="48"/>
      <c r="B65" s="49"/>
      <c r="C65" s="29"/>
      <c r="D65" s="29"/>
      <c r="E65" s="29"/>
      <c r="F65" s="29"/>
      <c r="G65" s="29"/>
      <c r="H65" s="29"/>
      <c r="I65" s="29"/>
      <c r="J65" s="66"/>
      <c r="K65" s="29"/>
      <c r="L65" s="29"/>
      <c r="M65" s="29"/>
      <c r="N65" s="29"/>
      <c r="O65" s="29"/>
    </row>
    <row r="66" spans="1:15" ht="15.75">
      <c r="A66" s="48"/>
      <c r="B66" s="49"/>
      <c r="C66" s="29"/>
      <c r="D66" s="29"/>
      <c r="E66" s="29"/>
      <c r="F66" s="29"/>
      <c r="G66" s="29"/>
      <c r="H66" s="29"/>
      <c r="I66" s="29"/>
      <c r="J66" s="66"/>
      <c r="K66" s="29"/>
      <c r="L66" s="29"/>
      <c r="M66" s="29"/>
      <c r="N66" s="29"/>
      <c r="O66" s="29"/>
    </row>
    <row r="67" spans="1:15" ht="15.75">
      <c r="A67" s="48"/>
      <c r="B67" s="49"/>
      <c r="C67" s="29"/>
      <c r="D67" s="29"/>
      <c r="E67" s="29"/>
      <c r="F67" s="29"/>
      <c r="G67" s="29"/>
      <c r="H67" s="29"/>
      <c r="I67" s="29"/>
      <c r="J67" s="66"/>
      <c r="K67" s="29"/>
      <c r="L67" s="29"/>
      <c r="M67" s="29"/>
      <c r="N67" s="29"/>
      <c r="O67" s="29"/>
    </row>
    <row r="68" spans="1:15" ht="15.75">
      <c r="A68" s="48"/>
      <c r="B68" s="49"/>
      <c r="C68" s="29"/>
      <c r="D68" s="29"/>
      <c r="E68" s="29"/>
      <c r="F68" s="29"/>
      <c r="G68" s="29"/>
      <c r="H68" s="29"/>
      <c r="I68" s="29"/>
      <c r="J68" s="66"/>
      <c r="K68" s="29"/>
      <c r="L68" s="29"/>
      <c r="M68" s="29"/>
      <c r="N68" s="29"/>
      <c r="O68" s="29"/>
    </row>
    <row r="69" spans="1:15" ht="15.75">
      <c r="A69" s="48"/>
      <c r="B69" s="49"/>
      <c r="C69" s="29"/>
      <c r="D69" s="29"/>
      <c r="E69" s="29"/>
      <c r="F69" s="29"/>
      <c r="G69" s="29"/>
      <c r="H69" s="29"/>
      <c r="I69" s="29"/>
      <c r="J69" s="66"/>
      <c r="K69" s="29"/>
      <c r="L69" s="29"/>
      <c r="M69" s="29"/>
      <c r="N69" s="29"/>
      <c r="O69" s="29"/>
    </row>
    <row r="70" spans="1:15" ht="15.75">
      <c r="A70" s="48"/>
      <c r="B70" s="49"/>
      <c r="C70" s="29"/>
      <c r="D70" s="29"/>
      <c r="E70" s="29"/>
      <c r="F70" s="29"/>
      <c r="G70" s="29"/>
      <c r="H70" s="29"/>
      <c r="I70" s="29"/>
      <c r="J70" s="66"/>
      <c r="K70" s="29"/>
      <c r="L70" s="29"/>
      <c r="M70" s="29"/>
      <c r="N70" s="29"/>
      <c r="O70" s="29"/>
    </row>
    <row r="71" spans="1:15" ht="15.75">
      <c r="A71" s="48"/>
      <c r="B71" s="49"/>
      <c r="C71" s="29"/>
      <c r="D71" s="29"/>
      <c r="E71" s="29"/>
      <c r="F71" s="29"/>
      <c r="G71" s="29"/>
      <c r="H71" s="29"/>
      <c r="I71" s="29"/>
      <c r="J71" s="66"/>
      <c r="K71" s="29"/>
      <c r="L71" s="29"/>
      <c r="M71" s="29"/>
      <c r="N71" s="29"/>
      <c r="O71" s="29"/>
    </row>
    <row r="72" spans="1:15" ht="15.75">
      <c r="A72" s="48"/>
      <c r="B72" s="49"/>
      <c r="C72" s="29"/>
      <c r="D72" s="29"/>
      <c r="E72" s="29"/>
      <c r="F72" s="29"/>
      <c r="G72" s="29"/>
      <c r="H72" s="29"/>
      <c r="I72" s="29"/>
      <c r="J72" s="66"/>
      <c r="K72" s="29"/>
      <c r="L72" s="29"/>
      <c r="M72" s="29"/>
      <c r="N72" s="29"/>
      <c r="O72" s="29"/>
    </row>
    <row r="73" spans="1:15" ht="15.75">
      <c r="A73" s="48"/>
      <c r="B73" s="49"/>
      <c r="C73" s="29"/>
      <c r="D73" s="29"/>
      <c r="E73" s="29"/>
      <c r="F73" s="29"/>
      <c r="G73" s="29"/>
      <c r="H73" s="29"/>
      <c r="I73" s="29"/>
      <c r="J73" s="66"/>
      <c r="K73" s="29"/>
      <c r="L73" s="29"/>
      <c r="M73" s="29"/>
      <c r="N73" s="29"/>
      <c r="O73" s="29"/>
    </row>
    <row r="74" spans="1:15" ht="15.75">
      <c r="A74" s="48"/>
      <c r="B74" s="49"/>
      <c r="C74" s="29"/>
      <c r="D74" s="29"/>
      <c r="E74" s="29"/>
      <c r="F74" s="29"/>
      <c r="G74" s="29"/>
      <c r="H74" s="29"/>
      <c r="I74" s="29"/>
      <c r="J74" s="66"/>
      <c r="K74" s="29"/>
      <c r="L74" s="29"/>
      <c r="M74" s="29"/>
      <c r="N74" s="29"/>
      <c r="O74" s="29"/>
    </row>
    <row r="75" spans="1:15" ht="15.75">
      <c r="A75" s="48"/>
      <c r="B75" s="49"/>
      <c r="C75" s="29"/>
      <c r="D75" s="29"/>
      <c r="E75" s="29"/>
      <c r="F75" s="29"/>
      <c r="G75" s="29"/>
      <c r="H75" s="29"/>
      <c r="I75" s="29"/>
      <c r="J75" s="66"/>
      <c r="K75" s="29"/>
      <c r="L75" s="29"/>
      <c r="M75" s="29"/>
      <c r="N75" s="29"/>
      <c r="O75" s="29"/>
    </row>
    <row r="76" spans="1:15" ht="15.75">
      <c r="A76" s="48"/>
      <c r="B76" s="49"/>
      <c r="C76" s="29"/>
      <c r="D76" s="29"/>
      <c r="E76" s="29"/>
      <c r="F76" s="29"/>
      <c r="G76" s="29"/>
      <c r="H76" s="29"/>
      <c r="I76" s="29"/>
      <c r="J76" s="66"/>
      <c r="K76" s="29"/>
      <c r="L76" s="29"/>
      <c r="M76" s="29"/>
      <c r="N76" s="29"/>
      <c r="O76" s="29"/>
    </row>
    <row r="77" spans="1:15" ht="15.75">
      <c r="A77" s="48"/>
      <c r="B77" s="49"/>
      <c r="C77" s="29"/>
      <c r="D77" s="29"/>
      <c r="E77" s="29"/>
      <c r="F77" s="29"/>
      <c r="G77" s="29"/>
      <c r="H77" s="29"/>
      <c r="I77" s="29"/>
      <c r="J77" s="66"/>
      <c r="K77" s="29"/>
      <c r="L77" s="29"/>
      <c r="M77" s="29"/>
      <c r="N77" s="29"/>
      <c r="O77" s="29"/>
    </row>
    <row r="78" spans="1:15" ht="15.75">
      <c r="A78" s="48"/>
      <c r="B78" s="49"/>
      <c r="C78" s="29"/>
      <c r="D78" s="29"/>
      <c r="E78" s="29"/>
      <c r="F78" s="29"/>
      <c r="G78" s="29"/>
      <c r="H78" s="29"/>
      <c r="I78" s="29"/>
      <c r="J78" s="66"/>
      <c r="K78" s="29"/>
      <c r="L78" s="29"/>
      <c r="M78" s="29"/>
      <c r="N78" s="29"/>
      <c r="O78" s="29"/>
    </row>
    <row r="79" spans="1:15" ht="15.75">
      <c r="A79" s="48"/>
      <c r="B79" s="49"/>
      <c r="C79" s="29"/>
      <c r="D79" s="29"/>
      <c r="E79" s="29"/>
      <c r="F79" s="29"/>
      <c r="G79" s="29"/>
      <c r="H79" s="29"/>
      <c r="I79" s="29"/>
      <c r="J79" s="66"/>
      <c r="K79" s="29"/>
      <c r="L79" s="29"/>
      <c r="M79" s="29"/>
      <c r="N79" s="29"/>
      <c r="O79" s="29"/>
    </row>
    <row r="80" spans="1:15" ht="15.75">
      <c r="A80" s="48"/>
      <c r="B80" s="49"/>
      <c r="C80" s="29"/>
      <c r="D80" s="29"/>
      <c r="E80" s="29"/>
      <c r="F80" s="29"/>
      <c r="G80" s="29"/>
      <c r="H80" s="29"/>
      <c r="I80" s="29"/>
      <c r="J80" s="66"/>
      <c r="K80" s="29"/>
      <c r="L80" s="29"/>
      <c r="M80" s="29"/>
      <c r="N80" s="29"/>
      <c r="O80" s="29"/>
    </row>
    <row r="81" spans="1:15" ht="15.75">
      <c r="A81" s="48"/>
      <c r="B81" s="49"/>
      <c r="C81" s="29"/>
      <c r="D81" s="29"/>
      <c r="E81" s="29"/>
      <c r="F81" s="29"/>
      <c r="G81" s="29"/>
      <c r="H81" s="29"/>
      <c r="I81" s="29"/>
      <c r="J81" s="66"/>
      <c r="K81" s="29"/>
      <c r="L81" s="29"/>
      <c r="M81" s="29"/>
      <c r="N81" s="29"/>
      <c r="O81" s="29"/>
    </row>
    <row r="82" spans="1:15" ht="15.75">
      <c r="A82" s="48"/>
      <c r="B82" s="49"/>
      <c r="C82" s="29"/>
      <c r="D82" s="29"/>
      <c r="E82" s="29"/>
      <c r="F82" s="29"/>
      <c r="G82" s="29"/>
      <c r="H82" s="29"/>
      <c r="I82" s="29"/>
      <c r="J82" s="66"/>
      <c r="K82" s="29"/>
      <c r="L82" s="29"/>
      <c r="M82" s="29"/>
      <c r="N82" s="29"/>
      <c r="O82" s="29"/>
    </row>
    <row r="83" spans="1:15" ht="15.75">
      <c r="A83" s="48"/>
      <c r="B83" s="49"/>
      <c r="C83" s="29"/>
      <c r="D83" s="29"/>
      <c r="E83" s="29"/>
      <c r="F83" s="29"/>
      <c r="G83" s="29"/>
      <c r="H83" s="29"/>
      <c r="I83" s="29"/>
      <c r="J83" s="66"/>
      <c r="K83" s="29"/>
      <c r="L83" s="29"/>
      <c r="M83" s="29"/>
      <c r="N83" s="29"/>
      <c r="O83" s="29"/>
    </row>
    <row r="84" spans="1:15" ht="15.75">
      <c r="A84" s="48"/>
      <c r="B84" s="49"/>
      <c r="C84" s="29"/>
      <c r="D84" s="29"/>
      <c r="E84" s="29"/>
      <c r="F84" s="29"/>
      <c r="G84" s="29"/>
      <c r="H84" s="29"/>
      <c r="I84" s="29"/>
      <c r="J84" s="66"/>
      <c r="K84" s="29"/>
      <c r="L84" s="29"/>
      <c r="M84" s="29"/>
      <c r="N84" s="29"/>
      <c r="O84" s="29"/>
    </row>
    <row r="85" spans="1:15" ht="15.75">
      <c r="A85" s="48"/>
      <c r="B85" s="49"/>
      <c r="C85" s="29"/>
      <c r="D85" s="29"/>
      <c r="E85" s="29"/>
      <c r="F85" s="29"/>
      <c r="G85" s="29"/>
      <c r="H85" s="29"/>
      <c r="I85" s="29"/>
      <c r="J85" s="66"/>
      <c r="K85" s="29"/>
      <c r="L85" s="29"/>
      <c r="M85" s="29"/>
      <c r="N85" s="29"/>
      <c r="O85" s="29"/>
    </row>
    <row r="86" spans="1:15" ht="15.75">
      <c r="A86" s="48"/>
      <c r="B86" s="49"/>
      <c r="C86" s="29"/>
      <c r="D86" s="29"/>
      <c r="E86" s="29"/>
      <c r="F86" s="29"/>
      <c r="G86" s="29"/>
      <c r="H86" s="29"/>
      <c r="I86" s="29"/>
      <c r="J86" s="66"/>
      <c r="K86" s="29"/>
      <c r="L86" s="29"/>
      <c r="M86" s="29"/>
      <c r="N86" s="29"/>
      <c r="O86" s="29"/>
    </row>
    <row r="87" spans="1:15" ht="15.75">
      <c r="A87" s="48"/>
      <c r="B87" s="49"/>
      <c r="C87" s="29"/>
      <c r="D87" s="29"/>
      <c r="E87" s="29"/>
      <c r="F87" s="29"/>
      <c r="G87" s="29"/>
      <c r="H87" s="29"/>
      <c r="I87" s="29"/>
      <c r="J87" s="66"/>
      <c r="K87" s="29"/>
      <c r="L87" s="29"/>
      <c r="M87" s="29"/>
      <c r="N87" s="29"/>
      <c r="O87" s="29"/>
    </row>
    <row r="88" spans="1:15" ht="15.75">
      <c r="A88" s="48"/>
      <c r="B88" s="49"/>
      <c r="C88" s="29"/>
      <c r="D88" s="29"/>
      <c r="E88" s="29"/>
      <c r="F88" s="29"/>
      <c r="G88" s="29"/>
      <c r="H88" s="29"/>
      <c r="I88" s="29"/>
      <c r="J88" s="66"/>
      <c r="K88" s="29"/>
      <c r="L88" s="29"/>
      <c r="M88" s="29"/>
      <c r="N88" s="29"/>
      <c r="O88" s="29"/>
    </row>
    <row r="89" spans="1:15" ht="15.75">
      <c r="A89" s="48"/>
      <c r="B89" s="49"/>
      <c r="C89" s="29"/>
      <c r="D89" s="29"/>
      <c r="E89" s="29"/>
      <c r="F89" s="29"/>
      <c r="G89" s="29"/>
      <c r="H89" s="29"/>
      <c r="I89" s="29"/>
      <c r="J89" s="66"/>
      <c r="K89" s="29"/>
      <c r="L89" s="29"/>
      <c r="M89" s="29"/>
      <c r="N89" s="29"/>
      <c r="O89" s="29"/>
    </row>
    <row r="90" spans="1:15" ht="15.75">
      <c r="A90" s="48"/>
      <c r="B90" s="49"/>
      <c r="C90" s="29"/>
      <c r="D90" s="29"/>
      <c r="E90" s="29"/>
      <c r="F90" s="29"/>
      <c r="G90" s="29"/>
      <c r="H90" s="29"/>
      <c r="I90" s="29"/>
      <c r="J90" s="66"/>
      <c r="K90" s="29"/>
      <c r="L90" s="29"/>
      <c r="M90" s="29"/>
      <c r="N90" s="29"/>
      <c r="O90" s="29"/>
    </row>
    <row r="91" spans="1:15" ht="15.75">
      <c r="A91" s="48"/>
      <c r="B91" s="49"/>
      <c r="C91" s="29"/>
      <c r="D91" s="29"/>
      <c r="E91" s="29"/>
      <c r="F91" s="29"/>
      <c r="G91" s="29"/>
      <c r="H91" s="29"/>
      <c r="I91" s="29"/>
      <c r="J91" s="66"/>
      <c r="K91" s="29"/>
      <c r="L91" s="29"/>
      <c r="M91" s="29"/>
      <c r="N91" s="29"/>
      <c r="O91" s="29"/>
    </row>
    <row r="92" spans="1:15" ht="15.75">
      <c r="A92" s="48"/>
      <c r="B92" s="49"/>
      <c r="C92" s="29"/>
      <c r="D92" s="29"/>
      <c r="E92" s="29"/>
      <c r="F92" s="29"/>
      <c r="G92" s="29"/>
      <c r="H92" s="29"/>
      <c r="I92" s="29"/>
      <c r="J92" s="66"/>
      <c r="K92" s="29"/>
      <c r="L92" s="29"/>
      <c r="M92" s="29"/>
      <c r="N92" s="29"/>
      <c r="O92" s="29"/>
    </row>
    <row r="93" spans="1:15" ht="15.75">
      <c r="A93" s="48"/>
      <c r="B93" s="49"/>
      <c r="C93" s="29"/>
      <c r="D93" s="29"/>
      <c r="E93" s="29"/>
      <c r="F93" s="29"/>
      <c r="G93" s="29"/>
      <c r="H93" s="29"/>
      <c r="I93" s="29"/>
      <c r="J93" s="66"/>
      <c r="K93" s="29"/>
      <c r="L93" s="29"/>
      <c r="M93" s="29"/>
      <c r="N93" s="29"/>
      <c r="O93" s="29"/>
    </row>
    <row r="94" spans="1:15" ht="15.75">
      <c r="A94" s="48"/>
      <c r="B94" s="49"/>
      <c r="C94" s="29"/>
      <c r="D94" s="29"/>
      <c r="E94" s="29"/>
      <c r="F94" s="29"/>
      <c r="G94" s="29"/>
      <c r="H94" s="29"/>
      <c r="I94" s="29"/>
      <c r="J94" s="66"/>
      <c r="K94" s="29"/>
      <c r="L94" s="29"/>
      <c r="M94" s="29"/>
      <c r="N94" s="29"/>
      <c r="O94" s="29"/>
    </row>
    <row r="95" spans="1:15" ht="15.75">
      <c r="A95" s="48"/>
      <c r="B95" s="49"/>
      <c r="C95" s="29"/>
      <c r="D95" s="29"/>
      <c r="E95" s="29"/>
      <c r="F95" s="29"/>
      <c r="G95" s="29"/>
      <c r="H95" s="29"/>
      <c r="I95" s="29"/>
      <c r="J95" s="66"/>
      <c r="K95" s="29"/>
      <c r="L95" s="29"/>
      <c r="M95" s="29"/>
      <c r="N95" s="29"/>
      <c r="O95" s="29"/>
    </row>
    <row r="96" spans="1:15" ht="15.75">
      <c r="A96" s="48"/>
      <c r="B96" s="49"/>
      <c r="C96" s="29"/>
      <c r="D96" s="29"/>
      <c r="E96" s="29"/>
      <c r="F96" s="29"/>
      <c r="G96" s="29"/>
      <c r="H96" s="29"/>
      <c r="I96" s="29"/>
      <c r="J96" s="66"/>
      <c r="K96" s="29"/>
      <c r="L96" s="29"/>
      <c r="M96" s="29"/>
      <c r="N96" s="29"/>
      <c r="O96" s="29"/>
    </row>
    <row r="97" spans="1:15" ht="15.75">
      <c r="A97" s="48"/>
      <c r="B97" s="49"/>
      <c r="C97" s="29"/>
      <c r="D97" s="29"/>
      <c r="E97" s="29"/>
      <c r="F97" s="29"/>
      <c r="G97" s="29"/>
      <c r="H97" s="29"/>
      <c r="I97" s="29"/>
      <c r="J97" s="66"/>
      <c r="K97" s="29"/>
      <c r="L97" s="29"/>
      <c r="M97" s="29"/>
      <c r="N97" s="29"/>
      <c r="O97" s="29"/>
    </row>
    <row r="99" spans="1:15" ht="17.25" customHeigh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</row>
  </sheetData>
  <sheetProtection/>
  <mergeCells count="21">
    <mergeCell ref="D9:D11"/>
    <mergeCell ref="G10:I10"/>
    <mergeCell ref="A99:O99"/>
    <mergeCell ref="F9:F10"/>
    <mergeCell ref="G9:I9"/>
    <mergeCell ref="J9:K9"/>
    <mergeCell ref="L9:O9"/>
    <mergeCell ref="O10:O11"/>
    <mergeCell ref="C35:C43"/>
    <mergeCell ref="E35:E43"/>
    <mergeCell ref="C9:C11"/>
    <mergeCell ref="D35:D43"/>
    <mergeCell ref="A3:O3"/>
    <mergeCell ref="A4:O4"/>
    <mergeCell ref="A6:O6"/>
    <mergeCell ref="A7:O7"/>
    <mergeCell ref="A8:O8"/>
    <mergeCell ref="J10:K10"/>
    <mergeCell ref="A9:A11"/>
    <mergeCell ref="B9:B11"/>
    <mergeCell ref="E9:E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19 G19:H19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46"/>
  <sheetViews>
    <sheetView view="pageBreakPreview" zoomScale="69" zoomScaleSheetLayoutView="69" zoomScalePageLayoutView="0" workbookViewId="0" topLeftCell="A25">
      <selection activeCell="D44" sqref="D44"/>
    </sheetView>
  </sheetViews>
  <sheetFormatPr defaultColWidth="9.00390625" defaultRowHeight="12.75"/>
  <cols>
    <col min="1" max="1" width="9.00390625" style="1" customWidth="1"/>
    <col min="2" max="2" width="36.875" style="1" customWidth="1"/>
    <col min="3" max="3" width="13.625" style="1" customWidth="1"/>
    <col min="4" max="4" width="14.25390625" style="1" customWidth="1"/>
    <col min="5" max="5" width="11.625" style="1" customWidth="1"/>
    <col min="6" max="6" width="13.25390625" style="1" customWidth="1"/>
    <col min="7" max="7" width="6.875" style="1" customWidth="1"/>
    <col min="8" max="8" width="13.625" style="1" customWidth="1"/>
    <col min="9" max="9" width="6.875" style="1" customWidth="1"/>
    <col min="10" max="10" width="12.75390625" style="1" customWidth="1"/>
    <col min="11" max="11" width="6.875" style="1" customWidth="1"/>
    <col min="12" max="12" width="13.625" style="1" customWidth="1"/>
    <col min="13" max="13" width="6.875" style="1" customWidth="1"/>
    <col min="14" max="23" width="5.75390625" style="1" customWidth="1"/>
    <col min="24" max="16384" width="9.125" style="1" customWidth="1"/>
  </cols>
  <sheetData>
    <row r="1" spans="1:13" ht="18.75">
      <c r="A1" s="25"/>
      <c r="B1" s="26"/>
      <c r="C1" s="26"/>
      <c r="D1" s="27"/>
      <c r="E1" s="27"/>
      <c r="F1" s="28"/>
      <c r="G1" s="28"/>
      <c r="H1" s="28"/>
      <c r="I1" s="28"/>
      <c r="J1" s="28"/>
      <c r="K1" s="28"/>
      <c r="L1" s="29"/>
      <c r="M1" s="29"/>
    </row>
    <row r="2" spans="1:13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181" t="s">
        <v>38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32"/>
      <c r="M4" s="32"/>
    </row>
    <row r="5" spans="1:13" ht="15.75">
      <c r="A5" s="182" t="s">
        <v>86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34"/>
      <c r="M5" s="34"/>
    </row>
    <row r="6" spans="1:13" ht="15.75">
      <c r="A6" s="25"/>
      <c r="B6" s="35"/>
      <c r="C6" s="35"/>
      <c r="D6" s="36"/>
      <c r="E6" s="36"/>
      <c r="F6" s="36"/>
      <c r="G6" s="36"/>
      <c r="H6" s="36"/>
      <c r="I6" s="36"/>
      <c r="J6" s="36"/>
      <c r="K6" s="36"/>
      <c r="L6" s="28"/>
      <c r="M6" s="28"/>
    </row>
    <row r="7" spans="1:14" ht="18.75">
      <c r="A7" s="174" t="str">
        <f>'прил.2'!A6</f>
        <v>Обособленное подразделение "АтомЭнергоСбыт" Тверь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37"/>
      <c r="M7" s="37"/>
      <c r="N7" s="6"/>
    </row>
    <row r="8" spans="1:14" ht="15.75">
      <c r="A8" s="172" t="s">
        <v>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32"/>
      <c r="M8" s="32"/>
      <c r="N8" s="7"/>
    </row>
    <row r="9" spans="1:13" ht="15.7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36"/>
      <c r="M9" s="36"/>
    </row>
    <row r="10" spans="1:13" ht="30" customHeight="1">
      <c r="A10" s="176" t="s">
        <v>3</v>
      </c>
      <c r="B10" s="176" t="s">
        <v>87</v>
      </c>
      <c r="C10" s="176" t="s">
        <v>88</v>
      </c>
      <c r="D10" s="155" t="s">
        <v>89</v>
      </c>
      <c r="E10" s="155"/>
      <c r="F10" s="180"/>
      <c r="G10" s="180"/>
      <c r="H10" s="180"/>
      <c r="I10" s="180"/>
      <c r="J10" s="180"/>
      <c r="K10" s="180"/>
      <c r="L10" s="180"/>
      <c r="M10" s="180"/>
    </row>
    <row r="11" spans="1:13" ht="45.75" customHeight="1">
      <c r="A11" s="176"/>
      <c r="B11" s="176"/>
      <c r="C11" s="176"/>
      <c r="D11" s="155"/>
      <c r="E11" s="155"/>
      <c r="F11" s="177" t="s">
        <v>160</v>
      </c>
      <c r="G11" s="177"/>
      <c r="H11" s="177" t="s">
        <v>171</v>
      </c>
      <c r="I11" s="177"/>
      <c r="J11" s="177" t="s">
        <v>186</v>
      </c>
      <c r="K11" s="177"/>
      <c r="L11" s="184" t="s">
        <v>90</v>
      </c>
      <c r="M11" s="184"/>
    </row>
    <row r="12" spans="1:13" ht="45" customHeight="1">
      <c r="A12" s="176"/>
      <c r="B12" s="177"/>
      <c r="C12" s="177"/>
      <c r="D12" s="177" t="s">
        <v>11</v>
      </c>
      <c r="E12" s="177"/>
      <c r="F12" s="177" t="s">
        <v>11</v>
      </c>
      <c r="G12" s="177"/>
      <c r="H12" s="177" t="s">
        <v>11</v>
      </c>
      <c r="I12" s="177"/>
      <c r="J12" s="177" t="s">
        <v>11</v>
      </c>
      <c r="K12" s="177"/>
      <c r="L12" s="177" t="s">
        <v>11</v>
      </c>
      <c r="M12" s="177"/>
    </row>
    <row r="13" spans="1:13" ht="60.75" customHeight="1">
      <c r="A13" s="176"/>
      <c r="B13" s="178"/>
      <c r="C13" s="179"/>
      <c r="D13" s="9" t="s">
        <v>99</v>
      </c>
      <c r="E13" s="9" t="s">
        <v>100</v>
      </c>
      <c r="F13" s="9" t="s">
        <v>99</v>
      </c>
      <c r="G13" s="9" t="s">
        <v>100</v>
      </c>
      <c r="H13" s="9" t="s">
        <v>99</v>
      </c>
      <c r="I13" s="9" t="s">
        <v>100</v>
      </c>
      <c r="J13" s="9" t="s">
        <v>99</v>
      </c>
      <c r="K13" s="9" t="s">
        <v>100</v>
      </c>
      <c r="L13" s="9" t="s">
        <v>99</v>
      </c>
      <c r="M13" s="9" t="s">
        <v>100</v>
      </c>
    </row>
    <row r="14" spans="1:13" ht="15.75">
      <c r="A14" s="8">
        <v>1</v>
      </c>
      <c r="B14" s="73">
        <v>2</v>
      </c>
      <c r="C14" s="8">
        <v>3</v>
      </c>
      <c r="D14" s="117" t="s">
        <v>91</v>
      </c>
      <c r="E14" s="12" t="s">
        <v>92</v>
      </c>
      <c r="F14" s="12" t="s">
        <v>97</v>
      </c>
      <c r="G14" s="12" t="s">
        <v>98</v>
      </c>
      <c r="H14" s="12" t="s">
        <v>101</v>
      </c>
      <c r="I14" s="12" t="s">
        <v>102</v>
      </c>
      <c r="J14" s="12" t="s">
        <v>101</v>
      </c>
      <c r="K14" s="12" t="s">
        <v>102</v>
      </c>
      <c r="L14" s="12" t="s">
        <v>103</v>
      </c>
      <c r="M14" s="12" t="s">
        <v>104</v>
      </c>
    </row>
    <row r="15" spans="1:13" ht="47.25">
      <c r="A15" s="50">
        <v>1</v>
      </c>
      <c r="B15" s="106" t="s">
        <v>147</v>
      </c>
      <c r="C15" s="75"/>
      <c r="D15" s="117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39" customHeight="1">
      <c r="A16" s="12" t="s">
        <v>50</v>
      </c>
      <c r="B16" s="104" t="str">
        <f>'прил.1'!B14</f>
        <v>Кондиционер AUX ALCA-H48/5R1</v>
      </c>
      <c r="C16" s="127" t="str">
        <f>'прил.1'!C14</f>
        <v>M_ТАЭС.01</v>
      </c>
      <c r="D16" s="74">
        <v>6</v>
      </c>
      <c r="E16" s="8"/>
      <c r="F16" s="8">
        <v>5</v>
      </c>
      <c r="G16" s="8"/>
      <c r="H16" s="8">
        <v>1</v>
      </c>
      <c r="I16" s="8"/>
      <c r="J16" s="8">
        <v>0</v>
      </c>
      <c r="K16" s="8"/>
      <c r="L16" s="8">
        <f>F16+H16+J16</f>
        <v>6</v>
      </c>
      <c r="M16" s="12"/>
    </row>
    <row r="17" spans="1:13" ht="26.25" customHeight="1">
      <c r="A17" s="12" t="s">
        <v>56</v>
      </c>
      <c r="B17" s="104" t="str">
        <f>'прил.1'!B15</f>
        <v>Вывеска на фасаде здания</v>
      </c>
      <c r="C17" s="127" t="str">
        <f>'прил.1'!C15</f>
        <v>M_ТАЭС.02</v>
      </c>
      <c r="D17" s="74">
        <v>1</v>
      </c>
      <c r="E17" s="8"/>
      <c r="F17" s="8">
        <v>0</v>
      </c>
      <c r="G17" s="8"/>
      <c r="H17" s="8">
        <v>1</v>
      </c>
      <c r="I17" s="8"/>
      <c r="J17" s="8">
        <v>0</v>
      </c>
      <c r="K17" s="8"/>
      <c r="L17" s="8">
        <f>F17+H17+J17</f>
        <v>1</v>
      </c>
      <c r="M17" s="12"/>
    </row>
    <row r="18" spans="1:13" ht="22.5" customHeight="1">
      <c r="A18" s="12" t="s">
        <v>62</v>
      </c>
      <c r="B18" s="104" t="str">
        <f>'прил.1'!B16</f>
        <v>Терминал самообслуживания</v>
      </c>
      <c r="C18" s="127" t="str">
        <f>'прил.1'!C16</f>
        <v>M_ТАЭС.03</v>
      </c>
      <c r="D18" s="74">
        <v>6</v>
      </c>
      <c r="E18" s="8"/>
      <c r="F18" s="8">
        <v>4</v>
      </c>
      <c r="G18" s="8"/>
      <c r="H18" s="8">
        <v>2</v>
      </c>
      <c r="I18" s="8"/>
      <c r="J18" s="8">
        <v>0</v>
      </c>
      <c r="K18" s="8"/>
      <c r="L18" s="8">
        <f>F18+H18+J18</f>
        <v>6</v>
      </c>
      <c r="M18" s="12"/>
    </row>
    <row r="19" spans="1:13" ht="22.5" customHeight="1">
      <c r="A19" s="12" t="s">
        <v>64</v>
      </c>
      <c r="B19" s="104" t="str">
        <f>'прил.1'!B17</f>
        <v>Система электронной очереди</v>
      </c>
      <c r="C19" s="127" t="str">
        <f>'прил.1'!C17</f>
        <v>M_ТАЭС.04</v>
      </c>
      <c r="D19" s="74">
        <v>1</v>
      </c>
      <c r="E19" s="8"/>
      <c r="F19" s="8">
        <v>1</v>
      </c>
      <c r="G19" s="8"/>
      <c r="H19" s="8">
        <v>0</v>
      </c>
      <c r="I19" s="8"/>
      <c r="J19" s="8">
        <v>0</v>
      </c>
      <c r="K19" s="8"/>
      <c r="L19" s="8">
        <f>F19+H19+J19</f>
        <v>1</v>
      </c>
      <c r="M19" s="12"/>
    </row>
    <row r="20" spans="1:13" ht="20.25" customHeight="1">
      <c r="A20" s="12" t="s">
        <v>161</v>
      </c>
      <c r="B20" s="104" t="str">
        <f>'прил.1'!B18</f>
        <v>Установка шлагбаума</v>
      </c>
      <c r="C20" s="127" t="str">
        <f>'прил.1'!C18</f>
        <v>M_ТАЭС.05</v>
      </c>
      <c r="D20" s="74">
        <v>1</v>
      </c>
      <c r="E20" s="8"/>
      <c r="F20" s="8">
        <v>1</v>
      </c>
      <c r="G20" s="8"/>
      <c r="H20" s="8">
        <v>0</v>
      </c>
      <c r="I20" s="8"/>
      <c r="J20" s="8">
        <v>0</v>
      </c>
      <c r="K20" s="8"/>
      <c r="L20" s="8">
        <f>F20+H20+J20</f>
        <v>1</v>
      </c>
      <c r="M20" s="12"/>
    </row>
    <row r="21" spans="1:13" ht="31.5" customHeight="1">
      <c r="A21" s="142">
        <v>2</v>
      </c>
      <c r="B21" s="106" t="s">
        <v>148</v>
      </c>
      <c r="C21" s="101"/>
      <c r="D21" s="74"/>
      <c r="E21" s="8"/>
      <c r="F21" s="8"/>
      <c r="G21" s="8"/>
      <c r="H21" s="8"/>
      <c r="I21" s="8"/>
      <c r="J21" s="8"/>
      <c r="K21" s="8"/>
      <c r="L21" s="8"/>
      <c r="M21" s="12"/>
    </row>
    <row r="22" spans="1:13" ht="23.25" customHeight="1">
      <c r="A22" s="12" t="s">
        <v>69</v>
      </c>
      <c r="B22" s="109" t="str">
        <f>'прил.1'!B20</f>
        <v>МФУ</v>
      </c>
      <c r="C22" s="127" t="str">
        <f>'прил.1'!C20</f>
        <v>M_ТАЭС.06</v>
      </c>
      <c r="D22" s="74">
        <v>195</v>
      </c>
      <c r="E22" s="8"/>
      <c r="F22" s="8">
        <f>2+5</f>
        <v>7</v>
      </c>
      <c r="G22" s="8"/>
      <c r="H22" s="8">
        <v>186</v>
      </c>
      <c r="I22" s="8"/>
      <c r="J22" s="8">
        <v>2</v>
      </c>
      <c r="K22" s="8"/>
      <c r="L22" s="8">
        <f>F22+H22+J22</f>
        <v>195</v>
      </c>
      <c r="M22" s="12"/>
    </row>
    <row r="23" spans="1:13" ht="24" customHeight="1">
      <c r="A23" s="12" t="s">
        <v>71</v>
      </c>
      <c r="B23" s="109" t="str">
        <f>'прил.1'!B21</f>
        <v>Замена ИБП</v>
      </c>
      <c r="C23" s="127" t="str">
        <f>'прил.1'!C21</f>
        <v>M_ТАЭС.07</v>
      </c>
      <c r="D23" s="74">
        <v>43</v>
      </c>
      <c r="E23" s="8"/>
      <c r="F23" s="8">
        <v>1</v>
      </c>
      <c r="G23" s="8"/>
      <c r="H23" s="8">
        <v>0</v>
      </c>
      <c r="I23" s="8"/>
      <c r="J23" s="8">
        <v>42</v>
      </c>
      <c r="K23" s="8"/>
      <c r="L23" s="8">
        <f aca="true" t="shared" si="0" ref="L23:L33">F23+H23+J23</f>
        <v>43</v>
      </c>
      <c r="M23" s="12"/>
    </row>
    <row r="24" spans="1:13" ht="62.25" customHeight="1">
      <c r="A24" s="12" t="s">
        <v>73</v>
      </c>
      <c r="B24" s="109" t="str">
        <f>'прил.1'!B22</f>
        <v>Маршрутизатор  Cisco ISR 4321 в составе:
-Расширение портов Cisco NIM-2GE-CU-SFP-1шт.</v>
      </c>
      <c r="C24" s="127" t="str">
        <f>'прил.1'!C22</f>
        <v>M_ТАЭС.08</v>
      </c>
      <c r="D24" s="74">
        <v>40</v>
      </c>
      <c r="E24" s="8"/>
      <c r="F24" s="8">
        <v>15</v>
      </c>
      <c r="G24" s="8"/>
      <c r="H24" s="8">
        <v>20</v>
      </c>
      <c r="I24" s="8"/>
      <c r="J24" s="8">
        <v>5</v>
      </c>
      <c r="K24" s="8"/>
      <c r="L24" s="8">
        <f t="shared" si="0"/>
        <v>40</v>
      </c>
      <c r="M24" s="12"/>
    </row>
    <row r="25" spans="1:13" ht="26.25" customHeight="1">
      <c r="A25" s="12" t="s">
        <v>75</v>
      </c>
      <c r="B25" s="109" t="str">
        <f>'прил.1'!B23</f>
        <v>АПКШ Континент 3.9 IPC25</v>
      </c>
      <c r="C25" s="127" t="str">
        <f>'прил.1'!C23</f>
        <v>M_ТАЭС.09</v>
      </c>
      <c r="D25" s="74">
        <v>0</v>
      </c>
      <c r="E25" s="8"/>
      <c r="F25" s="8">
        <v>7</v>
      </c>
      <c r="G25" s="8"/>
      <c r="H25" s="8">
        <v>0</v>
      </c>
      <c r="I25" s="8"/>
      <c r="J25" s="8">
        <v>19</v>
      </c>
      <c r="K25" s="8"/>
      <c r="L25" s="8">
        <f t="shared" si="0"/>
        <v>26</v>
      </c>
      <c r="M25" s="12"/>
    </row>
    <row r="26" spans="1:13" ht="49.5" customHeight="1">
      <c r="A26" s="12" t="s">
        <v>77</v>
      </c>
      <c r="B26" s="109" t="str">
        <f>'прил.1'!B24</f>
        <v>Ленточная библиотека HPE STOREEVER MSL2024 LTO-7 15000 SAS (P9G69A)</v>
      </c>
      <c r="C26" s="127" t="str">
        <f>'прил.1'!C24</f>
        <v>M_ТАЭС.10</v>
      </c>
      <c r="D26" s="74">
        <v>1</v>
      </c>
      <c r="E26" s="8"/>
      <c r="F26" s="8">
        <v>0</v>
      </c>
      <c r="G26" s="8"/>
      <c r="H26" s="8">
        <v>1</v>
      </c>
      <c r="I26" s="8"/>
      <c r="J26" s="8">
        <v>0</v>
      </c>
      <c r="K26" s="8"/>
      <c r="L26" s="8">
        <f t="shared" si="0"/>
        <v>1</v>
      </c>
      <c r="M26" s="12"/>
    </row>
    <row r="27" spans="1:13" ht="45.75" customHeight="1">
      <c r="A27" s="12" t="s">
        <v>82</v>
      </c>
      <c r="B27" s="109" t="str">
        <f>'прил.1'!B25</f>
        <v>Система хранения данных (СХД) HPE MSA 2062 + 24 SSD SAS 1,92 TB</v>
      </c>
      <c r="C27" s="127" t="str">
        <f>'прил.1'!C25</f>
        <v>M_ТАЭС.11</v>
      </c>
      <c r="D27" s="74">
        <v>0</v>
      </c>
      <c r="E27" s="8"/>
      <c r="F27" s="8">
        <v>0</v>
      </c>
      <c r="G27" s="8"/>
      <c r="H27" s="8">
        <v>1</v>
      </c>
      <c r="I27" s="8"/>
      <c r="J27" s="8">
        <v>1</v>
      </c>
      <c r="K27" s="8"/>
      <c r="L27" s="8">
        <f t="shared" si="0"/>
        <v>2</v>
      </c>
      <c r="M27" s="12"/>
    </row>
    <row r="28" spans="1:13" ht="48" customHeight="1">
      <c r="A28" s="12" t="s">
        <v>84</v>
      </c>
      <c r="B28" s="109" t="str">
        <f>'прил.1'!B26</f>
        <v>Сервер HPE ProLiant DL560 Gen10 (4xXeon Gold 6254, DDR 512 Gb, SAS SSD)</v>
      </c>
      <c r="C28" s="127" t="str">
        <f>'прил.1'!C26</f>
        <v>M_ТАЭС.12</v>
      </c>
      <c r="D28" s="74">
        <v>0</v>
      </c>
      <c r="E28" s="8"/>
      <c r="F28" s="8">
        <v>0</v>
      </c>
      <c r="G28" s="8"/>
      <c r="H28" s="8">
        <v>3</v>
      </c>
      <c r="I28" s="8"/>
      <c r="J28" s="8">
        <v>1</v>
      </c>
      <c r="K28" s="8"/>
      <c r="L28" s="8">
        <f t="shared" si="0"/>
        <v>4</v>
      </c>
      <c r="M28" s="12"/>
    </row>
    <row r="29" spans="1:13" ht="21" customHeight="1">
      <c r="A29" s="12" t="s">
        <v>174</v>
      </c>
      <c r="B29" s="109" t="str">
        <f>'прил.1'!B27</f>
        <v>Модернизация КСПД</v>
      </c>
      <c r="C29" s="127" t="str">
        <f>'прил.1'!C27</f>
        <v>M_ТАЭС.13</v>
      </c>
      <c r="D29" s="74">
        <v>0</v>
      </c>
      <c r="E29" s="8"/>
      <c r="F29" s="8">
        <v>0</v>
      </c>
      <c r="G29" s="8"/>
      <c r="H29" s="8">
        <v>0</v>
      </c>
      <c r="I29" s="8"/>
      <c r="J29" s="8">
        <f>2+2+30+6+6</f>
        <v>46</v>
      </c>
      <c r="K29" s="8"/>
      <c r="L29" s="8">
        <f t="shared" si="0"/>
        <v>46</v>
      </c>
      <c r="M29" s="12"/>
    </row>
    <row r="30" spans="1:13" ht="36" customHeight="1">
      <c r="A30" s="12" t="s">
        <v>175</v>
      </c>
      <c r="B30" s="109" t="str">
        <f>'прил.1'!B28</f>
        <v>Модернизация системы телефонной связи Avaya</v>
      </c>
      <c r="C30" s="127" t="str">
        <f>'прил.1'!C28</f>
        <v>M_ТАЭС.14</v>
      </c>
      <c r="D30" s="74">
        <v>0</v>
      </c>
      <c r="E30" s="8"/>
      <c r="F30" s="8">
        <v>0</v>
      </c>
      <c r="G30" s="8"/>
      <c r="H30" s="8">
        <v>1</v>
      </c>
      <c r="I30" s="8"/>
      <c r="J30" s="8">
        <v>0</v>
      </c>
      <c r="K30" s="8"/>
      <c r="L30" s="8">
        <f>F30+H30+J30</f>
        <v>1</v>
      </c>
      <c r="M30" s="12"/>
    </row>
    <row r="31" spans="1:13" ht="34.5" customHeight="1">
      <c r="A31" s="12" t="s">
        <v>176</v>
      </c>
      <c r="B31" s="109" t="str">
        <f>'прил.1'!B29</f>
        <v>Модернизация системы телефонной связи</v>
      </c>
      <c r="C31" s="127" t="str">
        <f>'прил.1'!C29</f>
        <v>M_ТАЭС.15</v>
      </c>
      <c r="D31" s="74">
        <v>0</v>
      </c>
      <c r="E31" s="8"/>
      <c r="F31" s="8">
        <v>0</v>
      </c>
      <c r="G31" s="8"/>
      <c r="H31" s="8">
        <v>0</v>
      </c>
      <c r="I31" s="8"/>
      <c r="J31" s="8">
        <f>2+30+6</f>
        <v>38</v>
      </c>
      <c r="K31" s="8"/>
      <c r="L31" s="8">
        <f t="shared" si="0"/>
        <v>38</v>
      </c>
      <c r="M31" s="12"/>
    </row>
    <row r="32" spans="1:13" ht="25.5" customHeight="1">
      <c r="A32" s="12" t="s">
        <v>177</v>
      </c>
      <c r="B32" s="109" t="str">
        <f>'прил.1'!B30</f>
        <v>Модернизация ВКС</v>
      </c>
      <c r="C32" s="127" t="str">
        <f>'прил.1'!C30</f>
        <v>M_ТАЭС.16</v>
      </c>
      <c r="D32" s="74">
        <v>1</v>
      </c>
      <c r="E32" s="8"/>
      <c r="F32" s="8">
        <v>0</v>
      </c>
      <c r="G32" s="8"/>
      <c r="H32" s="8">
        <v>0</v>
      </c>
      <c r="I32" s="8"/>
      <c r="J32" s="8">
        <f>2+4+1</f>
        <v>7</v>
      </c>
      <c r="K32" s="8"/>
      <c r="L32" s="8">
        <f t="shared" si="0"/>
        <v>7</v>
      </c>
      <c r="M32" s="12"/>
    </row>
    <row r="33" spans="1:13" ht="33.75" customHeight="1">
      <c r="A33" s="12" t="s">
        <v>178</v>
      </c>
      <c r="B33" s="109" t="str">
        <f>'прил.1'!B31</f>
        <v>LED ДИСПЛЕЙ PHILIPS 43BDL4051D/00</v>
      </c>
      <c r="C33" s="127" t="str">
        <f>'прил.1'!C31</f>
        <v>M_ТАЭС.17</v>
      </c>
      <c r="D33" s="74">
        <v>4</v>
      </c>
      <c r="E33" s="8"/>
      <c r="F33" s="8">
        <v>0</v>
      </c>
      <c r="G33" s="8"/>
      <c r="H33" s="8">
        <v>0</v>
      </c>
      <c r="I33" s="8"/>
      <c r="J33" s="8">
        <v>4</v>
      </c>
      <c r="K33" s="8"/>
      <c r="L33" s="8">
        <f t="shared" si="0"/>
        <v>4</v>
      </c>
      <c r="M33" s="12"/>
    </row>
    <row r="34" spans="1:13" ht="28.5" customHeight="1">
      <c r="A34" s="12" t="s">
        <v>179</v>
      </c>
      <c r="B34" s="109" t="str">
        <f>'прил.1'!B32</f>
        <v>Проектор Epson EB-992F</v>
      </c>
      <c r="C34" s="127" t="str">
        <f>'прил.1'!C32</f>
        <v>M_ТАЭС.18</v>
      </c>
      <c r="D34" s="74">
        <v>1</v>
      </c>
      <c r="E34" s="8"/>
      <c r="F34" s="8">
        <v>0</v>
      </c>
      <c r="G34" s="8"/>
      <c r="H34" s="8">
        <v>0</v>
      </c>
      <c r="I34" s="8"/>
      <c r="J34" s="8">
        <v>1</v>
      </c>
      <c r="K34" s="8"/>
      <c r="L34" s="8">
        <f>F34+H34+J34</f>
        <v>1</v>
      </c>
      <c r="M34" s="12"/>
    </row>
    <row r="35" spans="1:13" ht="36" customHeight="1">
      <c r="A35" s="12" t="s">
        <v>180</v>
      </c>
      <c r="B35" s="109" t="str">
        <f>'прил.1'!B33</f>
        <v>Ноутбук APPLE MacBook Air 13.3", MVH42RU/A</v>
      </c>
      <c r="C35" s="127" t="str">
        <f>'прил.1'!C33</f>
        <v>M_ТАЭС.19</v>
      </c>
      <c r="D35" s="74">
        <v>2</v>
      </c>
      <c r="E35" s="8"/>
      <c r="F35" s="8">
        <v>0</v>
      </c>
      <c r="G35" s="8"/>
      <c r="H35" s="8">
        <v>0</v>
      </c>
      <c r="I35" s="8"/>
      <c r="J35" s="8">
        <v>2</v>
      </c>
      <c r="K35" s="8"/>
      <c r="L35" s="8">
        <f>F35+H35+J35</f>
        <v>2</v>
      </c>
      <c r="M35" s="12"/>
    </row>
    <row r="36" spans="1:13" ht="47.25">
      <c r="A36" s="142">
        <v>3</v>
      </c>
      <c r="B36" s="106" t="s">
        <v>125</v>
      </c>
      <c r="C36" s="105"/>
      <c r="D36" s="74"/>
      <c r="E36" s="8"/>
      <c r="F36" s="8"/>
      <c r="G36" s="8"/>
      <c r="H36" s="8"/>
      <c r="I36" s="8"/>
      <c r="J36" s="8"/>
      <c r="K36" s="8"/>
      <c r="L36" s="8"/>
      <c r="M36" s="12"/>
    </row>
    <row r="37" spans="1:13" ht="31.5">
      <c r="A37" s="12" t="s">
        <v>153</v>
      </c>
      <c r="B37" s="109" t="str">
        <f>'прил.1'!B35</f>
        <v>Оснащение интеллектуальной системой учета</v>
      </c>
      <c r="C37" s="162" t="str">
        <f>'прил.1'!C35</f>
        <v>M_ТАЭС.20</v>
      </c>
      <c r="D37" s="118">
        <v>3</v>
      </c>
      <c r="E37" s="8"/>
      <c r="F37" s="8">
        <v>1</v>
      </c>
      <c r="G37" s="8"/>
      <c r="H37" s="8">
        <v>1</v>
      </c>
      <c r="I37" s="8"/>
      <c r="J37" s="8">
        <v>1</v>
      </c>
      <c r="K37" s="8"/>
      <c r="L37" s="8">
        <f>F37+H37+J37</f>
        <v>3</v>
      </c>
      <c r="M37" s="12"/>
    </row>
    <row r="38" spans="1:13" s="135" customFormat="1" ht="15.75">
      <c r="A38" s="128" t="s">
        <v>159</v>
      </c>
      <c r="B38" s="109" t="s">
        <v>157</v>
      </c>
      <c r="C38" s="163">
        <f>'прил.1'!C38</f>
        <v>0</v>
      </c>
      <c r="D38" s="138">
        <f aca="true" t="shared" si="1" ref="D38:D45">F38+H38+J38</f>
        <v>31609.61943</v>
      </c>
      <c r="E38" s="139"/>
      <c r="F38" s="138">
        <f>'[25]Лист1'!$E$8</f>
        <v>9527.50325</v>
      </c>
      <c r="G38" s="138"/>
      <c r="H38" s="138">
        <f>'[25]Лист1'!$H$8</f>
        <v>10545.08792</v>
      </c>
      <c r="I38" s="138"/>
      <c r="J38" s="138">
        <f>'[25]Лист1'!$K$8</f>
        <v>11537.02826</v>
      </c>
      <c r="K38" s="139"/>
      <c r="L38" s="139">
        <f aca="true" t="shared" si="2" ref="L38:L45">D38</f>
        <v>31609.61943</v>
      </c>
      <c r="M38" s="136"/>
    </row>
    <row r="39" spans="1:13" s="135" customFormat="1" ht="15.75">
      <c r="A39" s="136" t="s">
        <v>163</v>
      </c>
      <c r="B39" s="109" t="s">
        <v>158</v>
      </c>
      <c r="C39" s="163">
        <f>'прил.1'!C39</f>
        <v>0</v>
      </c>
      <c r="D39" s="138">
        <f t="shared" si="1"/>
        <v>957.8672554545456</v>
      </c>
      <c r="E39" s="139"/>
      <c r="F39" s="138">
        <f>'[25]Лист1'!$E$9+'[25]Лист1'!$E$10</f>
        <v>288.7122196969697</v>
      </c>
      <c r="G39" s="138"/>
      <c r="H39" s="138">
        <f>'[25]Лист1'!$H$9+'[25]Лист1'!$H$10</f>
        <v>319.54811878787876</v>
      </c>
      <c r="I39" s="138"/>
      <c r="J39" s="138">
        <f>'[25]Лист1'!$K$9+'[25]Лист1'!$K$10</f>
        <v>349.606916969697</v>
      </c>
      <c r="K39" s="139"/>
      <c r="L39" s="139">
        <f t="shared" si="2"/>
        <v>957.8672554545456</v>
      </c>
      <c r="M39" s="136"/>
    </row>
    <row r="40" spans="1:13" s="135" customFormat="1" ht="31.5">
      <c r="A40" s="136" t="s">
        <v>164</v>
      </c>
      <c r="B40" s="109" t="s">
        <v>230</v>
      </c>
      <c r="C40" s="163">
        <f>'прил.1'!C40</f>
        <v>0</v>
      </c>
      <c r="D40" s="138">
        <f t="shared" si="1"/>
        <v>478.9336277272727</v>
      </c>
      <c r="E40" s="139"/>
      <c r="F40" s="138">
        <f>'[25]Лист1'!$E$11</f>
        <v>144.35610984848483</v>
      </c>
      <c r="G40" s="138"/>
      <c r="H40" s="138">
        <f>'[25]Лист1'!$H$11</f>
        <v>159.77405939393938</v>
      </c>
      <c r="I40" s="138"/>
      <c r="J40" s="138">
        <f>'[25]Лист1'!$K$11</f>
        <v>174.80345848484848</v>
      </c>
      <c r="K40" s="139"/>
      <c r="L40" s="139">
        <f t="shared" si="2"/>
        <v>478.9336277272727</v>
      </c>
      <c r="M40" s="136"/>
    </row>
    <row r="41" spans="1:13" s="135" customFormat="1" ht="15.75">
      <c r="A41" s="136" t="s">
        <v>165</v>
      </c>
      <c r="B41" s="109" t="s">
        <v>162</v>
      </c>
      <c r="C41" s="163">
        <f>'прил.1'!C41</f>
        <v>0</v>
      </c>
      <c r="D41" s="138">
        <f t="shared" si="1"/>
        <v>0</v>
      </c>
      <c r="E41" s="139"/>
      <c r="F41" s="138">
        <v>0</v>
      </c>
      <c r="G41" s="138"/>
      <c r="H41" s="138">
        <v>0</v>
      </c>
      <c r="I41" s="138"/>
      <c r="J41" s="138">
        <v>0</v>
      </c>
      <c r="K41" s="139"/>
      <c r="L41" s="139">
        <f t="shared" si="2"/>
        <v>0</v>
      </c>
      <c r="M41" s="136"/>
    </row>
    <row r="42" spans="1:13" s="135" customFormat="1" ht="15.75">
      <c r="A42" s="136" t="s">
        <v>166</v>
      </c>
      <c r="B42" s="109" t="s">
        <v>181</v>
      </c>
      <c r="C42" s="163">
        <f>'прил.1'!C42</f>
        <v>0</v>
      </c>
      <c r="D42" s="138">
        <f t="shared" si="1"/>
        <v>478.9336277272727</v>
      </c>
      <c r="E42" s="139"/>
      <c r="F42" s="138">
        <f>'[25]Лист1'!$E$6</f>
        <v>144.35610984848483</v>
      </c>
      <c r="G42" s="138"/>
      <c r="H42" s="138">
        <f>'[25]Лист1'!$H$6</f>
        <v>159.77405939393938</v>
      </c>
      <c r="I42" s="138"/>
      <c r="J42" s="138">
        <f>'[25]Лист1'!$K$6</f>
        <v>174.80345848484848</v>
      </c>
      <c r="K42" s="139"/>
      <c r="L42" s="139">
        <f t="shared" si="2"/>
        <v>478.9336277272727</v>
      </c>
      <c r="M42" s="136"/>
    </row>
    <row r="43" spans="1:13" s="135" customFormat="1" ht="15.75">
      <c r="A43" s="136" t="s">
        <v>167</v>
      </c>
      <c r="B43" s="109" t="s">
        <v>229</v>
      </c>
      <c r="C43" s="163">
        <f>'прил.1'!C43</f>
        <v>0</v>
      </c>
      <c r="D43" s="138">
        <f t="shared" si="1"/>
        <v>0</v>
      </c>
      <c r="E43" s="139"/>
      <c r="F43" s="138">
        <f>'[25]Лист1'!$E$14</f>
        <v>0</v>
      </c>
      <c r="G43" s="138"/>
      <c r="H43" s="138">
        <f>'[25]Лист1'!$H$14</f>
        <v>0</v>
      </c>
      <c r="I43" s="138"/>
      <c r="J43" s="138">
        <f>'[25]Лист1'!$K$14</f>
        <v>0</v>
      </c>
      <c r="K43" s="139"/>
      <c r="L43" s="139">
        <f t="shared" si="2"/>
        <v>0</v>
      </c>
      <c r="M43" s="136"/>
    </row>
    <row r="44" spans="1:13" s="135" customFormat="1" ht="15.75">
      <c r="A44" s="136" t="s">
        <v>168</v>
      </c>
      <c r="B44" s="109" t="s">
        <v>182</v>
      </c>
      <c r="C44" s="163" t="str">
        <f>'прил.1'!C44</f>
        <v>M_ТАЭС.21</v>
      </c>
      <c r="D44" s="138">
        <f t="shared" si="1"/>
        <v>35632.661902909094</v>
      </c>
      <c r="E44" s="139"/>
      <c r="F44" s="138">
        <f>'[25]Лист1'!$E$16+'[25]Лист1'!$E$17+'[25]Лист1'!$E$18+'[25]Лист1'!$E$19+'[25]Лист1'!$E$20+'[25]Лист1'!$E$21</f>
        <v>10740.094572727272</v>
      </c>
      <c r="G44" s="138"/>
      <c r="H44" s="138">
        <f>'[25]Лист1'!$H$16+'[25]Лист1'!$H$17+'[25]Лист1'!$H$18+'[25]Лист1'!$H$19+'[25]Лист1'!$H$20+'[25]Лист1'!$H$21</f>
        <v>11887.190018909092</v>
      </c>
      <c r="I44" s="138"/>
      <c r="J44" s="138">
        <f>'[25]Лист1'!$K$16+'[25]Лист1'!$K$17+'[25]Лист1'!$K$18+'[25]Лист1'!$K$19+'[25]Лист1'!$K$20+'[25]Лист1'!$K$21</f>
        <v>13005.377311272727</v>
      </c>
      <c r="K44" s="139"/>
      <c r="L44" s="139">
        <f t="shared" si="2"/>
        <v>35632.661902909094</v>
      </c>
      <c r="M44" s="136"/>
    </row>
    <row r="45" spans="1:13" s="135" customFormat="1" ht="15.75">
      <c r="A45" s="136" t="s">
        <v>169</v>
      </c>
      <c r="B45" s="109" t="s">
        <v>228</v>
      </c>
      <c r="C45" s="164" t="e">
        <f>'прил.1'!#REF!</f>
        <v>#REF!</v>
      </c>
      <c r="D45" s="138">
        <f t="shared" si="1"/>
        <v>2586.2415897272726</v>
      </c>
      <c r="E45" s="139"/>
      <c r="F45" s="138">
        <f>'[25]Лист1'!$E$12</f>
        <v>779.5229931818183</v>
      </c>
      <c r="G45" s="138"/>
      <c r="H45" s="138">
        <f>'[25]Лист1'!$H$12</f>
        <v>862.7799207272726</v>
      </c>
      <c r="I45" s="138"/>
      <c r="J45" s="138">
        <f>'[25]Лист1'!$K$12</f>
        <v>943.9386758181819</v>
      </c>
      <c r="K45" s="139"/>
      <c r="L45" s="139">
        <f t="shared" si="2"/>
        <v>2586.2415897272726</v>
      </c>
      <c r="M45" s="136"/>
    </row>
    <row r="46" spans="1:13" ht="23.25" customHeight="1">
      <c r="A46" s="12" t="s">
        <v>127</v>
      </c>
      <c r="B46" s="104" t="str">
        <f>'прил.1'!B44</f>
        <v>Покупка здания в г. Тверь</v>
      </c>
      <c r="C46" s="101" t="str">
        <f>'прил.1'!C44</f>
        <v>M_ТАЭС.21</v>
      </c>
      <c r="D46" s="74">
        <v>1</v>
      </c>
      <c r="E46" s="8"/>
      <c r="F46" s="8">
        <v>1</v>
      </c>
      <c r="G46" s="8"/>
      <c r="H46" s="8">
        <v>0</v>
      </c>
      <c r="I46" s="8"/>
      <c r="J46" s="8">
        <v>0</v>
      </c>
      <c r="K46" s="8"/>
      <c r="L46" s="8">
        <f>F46+H46+J46</f>
        <v>1</v>
      </c>
      <c r="M46" s="12"/>
    </row>
  </sheetData>
  <sheetProtection/>
  <mergeCells count="20">
    <mergeCell ref="C37:C45"/>
    <mergeCell ref="H11:I11"/>
    <mergeCell ref="J11:K11"/>
    <mergeCell ref="A10:A13"/>
    <mergeCell ref="J12:K12"/>
    <mergeCell ref="L11:M11"/>
    <mergeCell ref="F11:G11"/>
    <mergeCell ref="H12:I12"/>
    <mergeCell ref="D12:E12"/>
    <mergeCell ref="F12:G12"/>
    <mergeCell ref="B10:B13"/>
    <mergeCell ref="C10:C13"/>
    <mergeCell ref="D10:E11"/>
    <mergeCell ref="F10:M10"/>
    <mergeCell ref="A4:K4"/>
    <mergeCell ref="A5:K5"/>
    <mergeCell ref="A7:K7"/>
    <mergeCell ref="A8:K8"/>
    <mergeCell ref="A9:K9"/>
    <mergeCell ref="L12:M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H16:H46 F16:F46 J16:J46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3"/>
  <sheetViews>
    <sheetView view="pageBreakPreview" zoomScale="60" zoomScalePageLayoutView="0" workbookViewId="0" topLeftCell="A16">
      <selection activeCell="F43" sqref="F43"/>
    </sheetView>
  </sheetViews>
  <sheetFormatPr defaultColWidth="9.00390625" defaultRowHeight="12.75"/>
  <cols>
    <col min="1" max="1" width="13.25390625" style="1" customWidth="1"/>
    <col min="2" max="2" width="36.00390625" style="1" customWidth="1"/>
    <col min="3" max="3" width="15.875" style="1" customWidth="1"/>
    <col min="4" max="4" width="20.125" style="1" customWidth="1"/>
    <col min="5" max="7" width="19.25390625" style="1" customWidth="1"/>
    <col min="8" max="8" width="17.125" style="1" customWidth="1"/>
    <col min="9" max="12" width="19.25390625" style="1" customWidth="1"/>
    <col min="13" max="13" width="4.75390625" style="1" customWidth="1"/>
    <col min="14" max="14" width="4.25390625" style="1" customWidth="1"/>
    <col min="15" max="15" width="4.375" style="1" customWidth="1"/>
    <col min="16" max="16" width="5.125" style="1" customWidth="1"/>
    <col min="17" max="17" width="5.75390625" style="1" customWidth="1"/>
    <col min="18" max="18" width="6.25390625" style="1" customWidth="1"/>
    <col min="19" max="19" width="6.625" style="1" customWidth="1"/>
    <col min="20" max="20" width="6.25390625" style="1" customWidth="1"/>
    <col min="21" max="22" width="5.75390625" style="1" customWidth="1"/>
    <col min="23" max="23" width="14.75390625" style="1" customWidth="1"/>
    <col min="24" max="33" width="5.75390625" style="1" customWidth="1"/>
    <col min="34" max="16384" width="9.125" style="1" customWidth="1"/>
  </cols>
  <sheetData>
    <row r="1" ht="18.75">
      <c r="K1" s="2" t="s">
        <v>124</v>
      </c>
    </row>
    <row r="4" spans="1:10" ht="15.75">
      <c r="A4" s="181" t="s">
        <v>38</v>
      </c>
      <c r="B4" s="181"/>
      <c r="C4" s="181"/>
      <c r="D4" s="181"/>
      <c r="E4" s="181"/>
      <c r="F4" s="181"/>
      <c r="G4" s="181"/>
      <c r="H4" s="181"/>
      <c r="I4" s="44"/>
      <c r="J4" s="44"/>
    </row>
    <row r="5" spans="1:12" ht="15.75">
      <c r="A5" s="182" t="s">
        <v>109</v>
      </c>
      <c r="B5" s="182"/>
      <c r="C5" s="182"/>
      <c r="D5" s="182"/>
      <c r="E5" s="182"/>
      <c r="F5" s="182"/>
      <c r="G5" s="182"/>
      <c r="H5" s="182"/>
      <c r="I5" s="33"/>
      <c r="J5" s="33"/>
      <c r="K5" s="33"/>
      <c r="L5" s="33"/>
    </row>
    <row r="6" spans="1:12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26" ht="18.75">
      <c r="A7" s="174" t="str">
        <f>'прил.3'!A7</f>
        <v>Обособленное подразделение "АтомЭнергоСбыт" Тверь</v>
      </c>
      <c r="B7" s="171"/>
      <c r="C7" s="171"/>
      <c r="D7" s="171"/>
      <c r="E7" s="171"/>
      <c r="F7" s="171"/>
      <c r="G7" s="171"/>
      <c r="H7" s="171"/>
      <c r="I7" s="18"/>
      <c r="J7" s="1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5" ht="15.75">
      <c r="A8" s="172" t="s">
        <v>2</v>
      </c>
      <c r="B8" s="172"/>
      <c r="C8" s="172"/>
      <c r="D8" s="172"/>
      <c r="E8" s="172"/>
      <c r="F8" s="172"/>
      <c r="G8" s="172"/>
      <c r="H8" s="172"/>
      <c r="I8" s="19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3" ht="15.7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31.5" customHeight="1">
      <c r="A10" s="185" t="s">
        <v>3</v>
      </c>
      <c r="B10" s="185" t="s">
        <v>87</v>
      </c>
      <c r="C10" s="185" t="s">
        <v>88</v>
      </c>
      <c r="D10" s="176" t="s">
        <v>108</v>
      </c>
      <c r="E10" s="177"/>
      <c r="F10" s="177"/>
      <c r="G10" s="177"/>
      <c r="H10" s="177"/>
      <c r="I10" s="177"/>
      <c r="J10" s="177"/>
      <c r="K10" s="177"/>
      <c r="L10" s="177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12" ht="44.25" customHeight="1">
      <c r="A11" s="186"/>
      <c r="B11" s="186"/>
      <c r="C11" s="186"/>
      <c r="D11" s="176"/>
      <c r="E11" s="177" t="s">
        <v>160</v>
      </c>
      <c r="F11" s="177"/>
      <c r="G11" s="177" t="s">
        <v>171</v>
      </c>
      <c r="H11" s="177"/>
      <c r="I11" s="177" t="s">
        <v>186</v>
      </c>
      <c r="J11" s="177"/>
      <c r="K11" s="176" t="s">
        <v>90</v>
      </c>
      <c r="L11" s="176"/>
    </row>
    <row r="12" spans="1:12" ht="69.75" customHeight="1">
      <c r="A12" s="186"/>
      <c r="B12" s="186"/>
      <c r="C12" s="186"/>
      <c r="D12" s="176"/>
      <c r="E12" s="177" t="s">
        <v>11</v>
      </c>
      <c r="F12" s="177"/>
      <c r="G12" s="177" t="s">
        <v>11</v>
      </c>
      <c r="H12" s="177"/>
      <c r="I12" s="177" t="s">
        <v>11</v>
      </c>
      <c r="J12" s="177"/>
      <c r="K12" s="177" t="s">
        <v>11</v>
      </c>
      <c r="L12" s="177"/>
    </row>
    <row r="13" spans="1:12" ht="37.5" customHeight="1">
      <c r="A13" s="186"/>
      <c r="B13" s="186"/>
      <c r="C13" s="186"/>
      <c r="D13" s="176" t="s">
        <v>13</v>
      </c>
      <c r="E13" s="41" t="s">
        <v>105</v>
      </c>
      <c r="F13" s="39" t="s">
        <v>106</v>
      </c>
      <c r="G13" s="41" t="s">
        <v>105</v>
      </c>
      <c r="H13" s="39" t="s">
        <v>106</v>
      </c>
      <c r="I13" s="41" t="s">
        <v>105</v>
      </c>
      <c r="J13" s="39" t="s">
        <v>106</v>
      </c>
      <c r="K13" s="41" t="s">
        <v>105</v>
      </c>
      <c r="L13" s="39" t="s">
        <v>106</v>
      </c>
    </row>
    <row r="14" spans="1:12" ht="66" customHeight="1">
      <c r="A14" s="187"/>
      <c r="B14" s="187"/>
      <c r="C14" s="187"/>
      <c r="D14" s="176"/>
      <c r="E14" s="9" t="s">
        <v>107</v>
      </c>
      <c r="F14" s="9" t="s">
        <v>107</v>
      </c>
      <c r="G14" s="9" t="s">
        <v>107</v>
      </c>
      <c r="H14" s="9" t="s">
        <v>107</v>
      </c>
      <c r="I14" s="9" t="s">
        <v>107</v>
      </c>
      <c r="J14" s="9" t="s">
        <v>107</v>
      </c>
      <c r="K14" s="9" t="s">
        <v>107</v>
      </c>
      <c r="L14" s="9" t="s">
        <v>107</v>
      </c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42" t="s">
        <v>93</v>
      </c>
      <c r="F15" s="42" t="s">
        <v>94</v>
      </c>
      <c r="G15" s="42" t="s">
        <v>95</v>
      </c>
      <c r="H15" s="42" t="s">
        <v>96</v>
      </c>
      <c r="I15" s="42" t="s">
        <v>95</v>
      </c>
      <c r="J15" s="42" t="s">
        <v>96</v>
      </c>
      <c r="K15" s="42" t="s">
        <v>97</v>
      </c>
      <c r="L15" s="42" t="s">
        <v>98</v>
      </c>
    </row>
    <row r="16" spans="1:12" ht="47.25">
      <c r="A16" s="50">
        <v>1</v>
      </c>
      <c r="B16" s="106" t="s">
        <v>147</v>
      </c>
      <c r="C16" s="75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36" customHeight="1">
      <c r="A17" s="12" t="s">
        <v>50</v>
      </c>
      <c r="B17" s="104" t="str">
        <f>'прил.1'!B14</f>
        <v>Кондиционер AUX ALCA-H48/5R1</v>
      </c>
      <c r="C17" s="127" t="str">
        <f>'прил.1'!C14</f>
        <v>M_ТАЭС.01</v>
      </c>
      <c r="D17" s="67">
        <f>'прил.2'!G14</f>
        <v>1.0583333333333333</v>
      </c>
      <c r="E17" s="123">
        <v>0</v>
      </c>
      <c r="F17" s="67">
        <f>'прил.2'!L14</f>
        <v>0.8750000000000001</v>
      </c>
      <c r="G17" s="123">
        <v>0</v>
      </c>
      <c r="H17" s="67">
        <f>'прил.2'!M14</f>
        <v>0.18333333333333335</v>
      </c>
      <c r="I17" s="123">
        <v>0</v>
      </c>
      <c r="J17" s="67">
        <f>'прил.2'!N14</f>
        <v>0</v>
      </c>
      <c r="K17" s="67">
        <f aca="true" t="shared" si="0" ref="K17:K23">E17+G17+I17</f>
        <v>0</v>
      </c>
      <c r="L17" s="67">
        <f>J17+H17+F17</f>
        <v>1.0583333333333336</v>
      </c>
    </row>
    <row r="18" spans="1:12" ht="15.75" customHeight="1">
      <c r="A18" s="12" t="s">
        <v>56</v>
      </c>
      <c r="B18" s="104" t="str">
        <f>'прил.1'!B15</f>
        <v>Вывеска на фасаде здания</v>
      </c>
      <c r="C18" s="127" t="str">
        <f>'прил.1'!C15</f>
        <v>M_ТАЭС.02</v>
      </c>
      <c r="D18" s="67">
        <f>'прил.2'!G15</f>
        <v>0.15</v>
      </c>
      <c r="E18" s="67">
        <v>0</v>
      </c>
      <c r="F18" s="67">
        <f>'прил.2'!L15</f>
        <v>0</v>
      </c>
      <c r="G18" s="67">
        <v>0</v>
      </c>
      <c r="H18" s="67">
        <f>'прил.2'!M15</f>
        <v>0.15</v>
      </c>
      <c r="I18" s="67">
        <v>0</v>
      </c>
      <c r="J18" s="67">
        <f>'прил.2'!N15</f>
        <v>0</v>
      </c>
      <c r="K18" s="67">
        <f t="shared" si="0"/>
        <v>0</v>
      </c>
      <c r="L18" s="67">
        <f>J18+H18+F18</f>
        <v>0.15</v>
      </c>
    </row>
    <row r="19" spans="1:12" ht="30" customHeight="1">
      <c r="A19" s="12" t="s">
        <v>62</v>
      </c>
      <c r="B19" s="104" t="str">
        <f>'прил.1'!B16</f>
        <v>Терминал самообслуживания</v>
      </c>
      <c r="C19" s="127" t="str">
        <f>'прил.1'!C16</f>
        <v>M_ТАЭС.03</v>
      </c>
      <c r="D19" s="67">
        <f>'прил.2'!G16</f>
        <v>1.7333333333333334</v>
      </c>
      <c r="E19" s="67">
        <v>0</v>
      </c>
      <c r="F19" s="67">
        <f>'прил.2'!L16</f>
        <v>1.1416666666666668</v>
      </c>
      <c r="G19" s="67">
        <v>0</v>
      </c>
      <c r="H19" s="67">
        <f>'прил.2'!M16</f>
        <v>0.5916666666666667</v>
      </c>
      <c r="I19" s="67">
        <v>0</v>
      </c>
      <c r="J19" s="67">
        <f>'прил.2'!N16</f>
        <v>0</v>
      </c>
      <c r="K19" s="67">
        <f t="shared" si="0"/>
        <v>0</v>
      </c>
      <c r="L19" s="67">
        <f>J19+H19+F19</f>
        <v>1.7333333333333334</v>
      </c>
    </row>
    <row r="20" spans="1:12" ht="20.25" customHeight="1">
      <c r="A20" s="12" t="s">
        <v>64</v>
      </c>
      <c r="B20" s="104" t="str">
        <f>'прил.1'!B17</f>
        <v>Система электронной очереди</v>
      </c>
      <c r="C20" s="127" t="str">
        <f>'прил.1'!C17</f>
        <v>M_ТАЭС.04</v>
      </c>
      <c r="D20" s="67">
        <f>'прил.2'!G17</f>
        <v>0.9666666666666667</v>
      </c>
      <c r="E20" s="67">
        <v>0</v>
      </c>
      <c r="F20" s="67">
        <f>'прил.2'!L17</f>
        <v>0.9666666666666667</v>
      </c>
      <c r="G20" s="67">
        <v>0</v>
      </c>
      <c r="H20" s="67">
        <f>'прил.2'!M17</f>
        <v>0</v>
      </c>
      <c r="I20" s="67">
        <v>0</v>
      </c>
      <c r="J20" s="67">
        <f>'прил.2'!N17</f>
        <v>0</v>
      </c>
      <c r="K20" s="67">
        <f t="shared" si="0"/>
        <v>0</v>
      </c>
      <c r="L20" s="67">
        <f>J20+H20+F20</f>
        <v>0.9666666666666667</v>
      </c>
    </row>
    <row r="21" spans="1:12" ht="24" customHeight="1">
      <c r="A21" s="12" t="s">
        <v>161</v>
      </c>
      <c r="B21" s="104" t="str">
        <f>'прил.1'!B18</f>
        <v>Установка шлагбаума</v>
      </c>
      <c r="C21" s="127" t="str">
        <f>'прил.1'!C18</f>
        <v>M_ТАЭС.05</v>
      </c>
      <c r="D21" s="67">
        <f>'прил.2'!G18</f>
        <v>0.1416666666666667</v>
      </c>
      <c r="E21" s="67">
        <v>0</v>
      </c>
      <c r="F21" s="67">
        <f>'прил.2'!L18</f>
        <v>0.1416666666666667</v>
      </c>
      <c r="G21" s="67">
        <v>0</v>
      </c>
      <c r="H21" s="67">
        <f>'прил.2'!M18</f>
        <v>0</v>
      </c>
      <c r="I21" s="67">
        <v>0</v>
      </c>
      <c r="J21" s="67">
        <f>'прил.2'!N18</f>
        <v>0</v>
      </c>
      <c r="K21" s="67">
        <f t="shared" si="0"/>
        <v>0</v>
      </c>
      <c r="L21" s="67">
        <f aca="true" t="shared" si="1" ref="L21:L47">J21+H21+F21</f>
        <v>0.1416666666666667</v>
      </c>
    </row>
    <row r="22" spans="1:12" ht="15.75">
      <c r="A22" s="142">
        <v>2</v>
      </c>
      <c r="B22" s="106" t="s">
        <v>148</v>
      </c>
      <c r="C22" s="101"/>
      <c r="D22" s="67"/>
      <c r="E22" s="67"/>
      <c r="F22" s="67"/>
      <c r="G22" s="67"/>
      <c r="H22" s="67"/>
      <c r="I22" s="67"/>
      <c r="J22" s="67"/>
      <c r="K22" s="67">
        <f t="shared" si="0"/>
        <v>0</v>
      </c>
      <c r="L22" s="67">
        <f t="shared" si="1"/>
        <v>0</v>
      </c>
    </row>
    <row r="23" spans="1:12" ht="17.25" customHeight="1">
      <c r="A23" s="12" t="s">
        <v>69</v>
      </c>
      <c r="B23" s="109" t="str">
        <f>'прил.1'!B20</f>
        <v>МФУ</v>
      </c>
      <c r="C23" s="127" t="str">
        <f>'прил.1'!C20</f>
        <v>M_ТАЭС.06</v>
      </c>
      <c r="D23" s="67">
        <f>'прил.2'!G20</f>
        <v>26.775000000000002</v>
      </c>
      <c r="E23" s="67">
        <v>0</v>
      </c>
      <c r="F23" s="67">
        <f>'прил.2'!L20</f>
        <v>1.3250000000000002</v>
      </c>
      <c r="G23" s="67">
        <v>0</v>
      </c>
      <c r="H23" s="67">
        <f>'прил.2'!M20</f>
        <v>24.89166666666667</v>
      </c>
      <c r="I23" s="67">
        <v>0</v>
      </c>
      <c r="J23" s="67">
        <f>'прил.2'!N20</f>
        <v>0.5583333333333333</v>
      </c>
      <c r="K23" s="67">
        <f t="shared" si="0"/>
        <v>0</v>
      </c>
      <c r="L23" s="67">
        <f t="shared" si="1"/>
        <v>26.775000000000002</v>
      </c>
    </row>
    <row r="24" spans="1:12" ht="18.75" customHeight="1">
      <c r="A24" s="12" t="s">
        <v>71</v>
      </c>
      <c r="B24" s="109" t="str">
        <f>'прил.1'!B21</f>
        <v>Замена ИБП</v>
      </c>
      <c r="C24" s="127" t="str">
        <f>'прил.1'!C21</f>
        <v>M_ТАЭС.07</v>
      </c>
      <c r="D24" s="67">
        <f>'прил.2'!G21</f>
        <v>11.658333333333333</v>
      </c>
      <c r="E24" s="67">
        <v>0</v>
      </c>
      <c r="F24" s="67">
        <f>'прил.2'!L21</f>
        <v>2.275</v>
      </c>
      <c r="G24" s="67">
        <v>0</v>
      </c>
      <c r="H24" s="67">
        <f>'прил.2'!M21</f>
        <v>0</v>
      </c>
      <c r="I24" s="67">
        <v>0</v>
      </c>
      <c r="J24" s="67">
        <f>'прил.2'!N21</f>
        <v>9.383333333333333</v>
      </c>
      <c r="K24" s="67">
        <f aca="true" t="shared" si="2" ref="K24:K30">E24+G24+I24</f>
        <v>0</v>
      </c>
      <c r="L24" s="67">
        <f aca="true" t="shared" si="3" ref="L24:L30">J24+H24+F24</f>
        <v>11.658333333333333</v>
      </c>
    </row>
    <row r="25" spans="1:12" ht="70.5" customHeight="1">
      <c r="A25" s="12" t="s">
        <v>73</v>
      </c>
      <c r="B25" s="109" t="str">
        <f>'прил.1'!B22</f>
        <v>Маршрутизатор  Cisco ISR 4321 в составе:
-Расширение портов Cisco NIM-2GE-CU-SFP-1шт.</v>
      </c>
      <c r="C25" s="127" t="str">
        <f>'прил.1'!C22</f>
        <v>M_ТАЭС.08</v>
      </c>
      <c r="D25" s="67">
        <f>'прил.2'!G22</f>
        <v>6.208333333333333</v>
      </c>
      <c r="E25" s="67">
        <v>0</v>
      </c>
      <c r="F25" s="67">
        <f>'прил.2'!L22</f>
        <v>2.2583333333333333</v>
      </c>
      <c r="G25" s="67">
        <v>0</v>
      </c>
      <c r="H25" s="67">
        <f>'прил.2'!M22</f>
        <v>3.1333333333333333</v>
      </c>
      <c r="I25" s="67">
        <v>0</v>
      </c>
      <c r="J25" s="67">
        <f>'прил.2'!N22</f>
        <v>0.8166666666666667</v>
      </c>
      <c r="K25" s="67">
        <f t="shared" si="2"/>
        <v>0</v>
      </c>
      <c r="L25" s="67">
        <f t="shared" si="3"/>
        <v>6.208333333333334</v>
      </c>
    </row>
    <row r="26" spans="1:12" ht="15.75">
      <c r="A26" s="12" t="s">
        <v>75</v>
      </c>
      <c r="B26" s="109" t="str">
        <f>'прил.1'!B23</f>
        <v>АПКШ Континент 3.9 IPC25</v>
      </c>
      <c r="C26" s="127" t="str">
        <f>'прил.1'!C23</f>
        <v>M_ТАЭС.09</v>
      </c>
      <c r="D26" s="67">
        <f>'прил.2'!G23</f>
        <v>3.966666666666667</v>
      </c>
      <c r="E26" s="67">
        <v>0</v>
      </c>
      <c r="F26" s="67">
        <f>'прил.2'!L23</f>
        <v>1.0083333333333333</v>
      </c>
      <c r="G26" s="67">
        <v>0</v>
      </c>
      <c r="H26" s="67">
        <f>'прил.2'!M23</f>
        <v>0</v>
      </c>
      <c r="I26" s="67">
        <v>0</v>
      </c>
      <c r="J26" s="67">
        <f>'прил.2'!N23</f>
        <v>2.9583333333333335</v>
      </c>
      <c r="K26" s="67">
        <f t="shared" si="2"/>
        <v>0</v>
      </c>
      <c r="L26" s="67">
        <f t="shared" si="3"/>
        <v>3.966666666666667</v>
      </c>
    </row>
    <row r="27" spans="1:12" ht="53.25" customHeight="1">
      <c r="A27" s="12" t="s">
        <v>77</v>
      </c>
      <c r="B27" s="109" t="str">
        <f>'прил.1'!B24</f>
        <v>Ленточная библиотека HPE STOREEVER MSL2024 LTO-7 15000 SAS (P9G69A)</v>
      </c>
      <c r="C27" s="127" t="str">
        <f>'прил.1'!C24</f>
        <v>M_ТАЭС.10</v>
      </c>
      <c r="D27" s="67">
        <f>'прил.2'!G24</f>
        <v>0.8250000000000001</v>
      </c>
      <c r="E27" s="67">
        <v>0</v>
      </c>
      <c r="F27" s="67">
        <f>'прил.2'!L24</f>
        <v>0</v>
      </c>
      <c r="G27" s="67">
        <v>0</v>
      </c>
      <c r="H27" s="67">
        <f>'прил.2'!M24</f>
        <v>0.8250000000000001</v>
      </c>
      <c r="I27" s="67">
        <v>0</v>
      </c>
      <c r="J27" s="67">
        <f>'прил.2'!N24</f>
        <v>0</v>
      </c>
      <c r="K27" s="67">
        <f t="shared" si="2"/>
        <v>0</v>
      </c>
      <c r="L27" s="67">
        <f t="shared" si="3"/>
        <v>0.8250000000000001</v>
      </c>
    </row>
    <row r="28" spans="1:12" ht="51" customHeight="1">
      <c r="A28" s="12" t="s">
        <v>82</v>
      </c>
      <c r="B28" s="109" t="str">
        <f>'прил.1'!B25</f>
        <v>Система хранения данных (СХД) HPE MSA 2062 + 24 SSD SAS 1,92 TB</v>
      </c>
      <c r="C28" s="127" t="str">
        <f>'прил.1'!C25</f>
        <v>M_ТАЭС.11</v>
      </c>
      <c r="D28" s="67">
        <f>'прил.2'!G25</f>
        <v>10.966666666666667</v>
      </c>
      <c r="E28" s="67">
        <v>0</v>
      </c>
      <c r="F28" s="67">
        <f>'прил.2'!L25</f>
        <v>0</v>
      </c>
      <c r="G28" s="67">
        <v>0</v>
      </c>
      <c r="H28" s="67">
        <f>'прил.2'!M25</f>
        <v>5.375</v>
      </c>
      <c r="I28" s="67">
        <v>0</v>
      </c>
      <c r="J28" s="67">
        <f>'прил.2'!N25</f>
        <v>5.591666666666667</v>
      </c>
      <c r="K28" s="67">
        <f t="shared" si="2"/>
        <v>0</v>
      </c>
      <c r="L28" s="67">
        <f t="shared" si="3"/>
        <v>10.966666666666667</v>
      </c>
    </row>
    <row r="29" spans="1:12" ht="52.5" customHeight="1">
      <c r="A29" s="12" t="s">
        <v>84</v>
      </c>
      <c r="B29" s="109" t="str">
        <f>'прил.1'!B26</f>
        <v>Сервер HPE ProLiant DL560 Gen10 (4xXeon Gold 6254, DDR 512 Gb, SAS SSD)</v>
      </c>
      <c r="C29" s="127" t="str">
        <f>'прил.1'!C26</f>
        <v>M_ТАЭС.12</v>
      </c>
      <c r="D29" s="67">
        <f>'прил.2'!G26</f>
        <v>28.850000000000005</v>
      </c>
      <c r="E29" s="67">
        <v>0</v>
      </c>
      <c r="F29" s="67">
        <f>'прил.2'!L26</f>
        <v>0</v>
      </c>
      <c r="G29" s="67">
        <v>0</v>
      </c>
      <c r="H29" s="67">
        <f>'прил.2'!M26</f>
        <v>21.425</v>
      </c>
      <c r="I29" s="67">
        <v>0</v>
      </c>
      <c r="J29" s="67">
        <f>'прил.2'!N26</f>
        <v>7.425000000000001</v>
      </c>
      <c r="K29" s="67">
        <f t="shared" si="2"/>
        <v>0</v>
      </c>
      <c r="L29" s="67">
        <f t="shared" si="3"/>
        <v>28.85</v>
      </c>
    </row>
    <row r="30" spans="1:12" ht="22.5" customHeight="1">
      <c r="A30" s="12" t="s">
        <v>174</v>
      </c>
      <c r="B30" s="109" t="str">
        <f>'прил.1'!B27</f>
        <v>Модернизация КСПД</v>
      </c>
      <c r="C30" s="127" t="str">
        <f>'прил.1'!C27</f>
        <v>M_ТАЭС.13</v>
      </c>
      <c r="D30" s="67">
        <f>'прил.2'!G27</f>
        <v>7.883333333333335</v>
      </c>
      <c r="E30" s="67">
        <v>0</v>
      </c>
      <c r="F30" s="67">
        <f>'прил.2'!L27</f>
        <v>0</v>
      </c>
      <c r="G30" s="67">
        <v>0</v>
      </c>
      <c r="H30" s="67">
        <f>'прил.2'!M27</f>
        <v>0</v>
      </c>
      <c r="I30" s="67">
        <v>0</v>
      </c>
      <c r="J30" s="67">
        <f>'прил.2'!N27</f>
        <v>7.883333333333335</v>
      </c>
      <c r="K30" s="67">
        <f t="shared" si="2"/>
        <v>0</v>
      </c>
      <c r="L30" s="67">
        <f t="shared" si="3"/>
        <v>7.883333333333335</v>
      </c>
    </row>
    <row r="31" spans="1:12" ht="39" customHeight="1">
      <c r="A31" s="12" t="s">
        <v>175</v>
      </c>
      <c r="B31" s="109" t="str">
        <f>'прил.1'!B28</f>
        <v>Модернизация системы телефонной связи Avaya</v>
      </c>
      <c r="C31" s="127" t="str">
        <f>'прил.1'!C28</f>
        <v>M_ТАЭС.14</v>
      </c>
      <c r="D31" s="67">
        <f>'прил.2'!G28</f>
        <v>6.533333333333333</v>
      </c>
      <c r="E31" s="67">
        <v>0</v>
      </c>
      <c r="F31" s="67">
        <f>'прил.2'!L28</f>
        <v>0</v>
      </c>
      <c r="G31" s="67">
        <v>0</v>
      </c>
      <c r="H31" s="67">
        <f>'прил.2'!M28</f>
        <v>6.533333333333333</v>
      </c>
      <c r="I31" s="67">
        <v>0</v>
      </c>
      <c r="J31" s="67">
        <f>'прил.2'!N28</f>
        <v>0</v>
      </c>
      <c r="K31" s="67">
        <f aca="true" t="shared" si="4" ref="K31:K47">E31+G31+I31</f>
        <v>0</v>
      </c>
      <c r="L31" s="67">
        <f aca="true" t="shared" si="5" ref="L31:L36">J31+H31+F31</f>
        <v>6.533333333333333</v>
      </c>
    </row>
    <row r="32" spans="1:12" ht="39.75" customHeight="1">
      <c r="A32" s="12" t="s">
        <v>176</v>
      </c>
      <c r="B32" s="109" t="str">
        <f>'прил.1'!B29</f>
        <v>Модернизация системы телефонной связи</v>
      </c>
      <c r="C32" s="127" t="str">
        <f>'прил.1'!C29</f>
        <v>M_ТАЭС.15</v>
      </c>
      <c r="D32" s="67">
        <f>'прил.2'!G29</f>
        <v>6.991666666666667</v>
      </c>
      <c r="E32" s="67">
        <v>0</v>
      </c>
      <c r="F32" s="67">
        <f>'прил.2'!L29</f>
        <v>0</v>
      </c>
      <c r="G32" s="67">
        <v>0</v>
      </c>
      <c r="H32" s="67">
        <f>'прил.2'!M29</f>
        <v>0</v>
      </c>
      <c r="I32" s="67">
        <v>0</v>
      </c>
      <c r="J32" s="67">
        <f>'прил.2'!N29</f>
        <v>6.991666666666667</v>
      </c>
      <c r="K32" s="67">
        <f t="shared" si="4"/>
        <v>0</v>
      </c>
      <c r="L32" s="67">
        <f t="shared" si="5"/>
        <v>6.991666666666667</v>
      </c>
    </row>
    <row r="33" spans="1:12" ht="24" customHeight="1">
      <c r="A33" s="12" t="s">
        <v>177</v>
      </c>
      <c r="B33" s="109" t="str">
        <f>'прил.1'!B30</f>
        <v>Модернизация ВКС</v>
      </c>
      <c r="C33" s="127" t="str">
        <f>'прил.1'!C30</f>
        <v>M_ТАЭС.16</v>
      </c>
      <c r="D33" s="67">
        <f>'прил.2'!G30</f>
        <v>1.8916666666666668</v>
      </c>
      <c r="E33" s="67">
        <v>0</v>
      </c>
      <c r="F33" s="67">
        <f>'прил.2'!L30</f>
        <v>0</v>
      </c>
      <c r="G33" s="67">
        <v>0</v>
      </c>
      <c r="H33" s="67">
        <f>'прил.2'!M30</f>
        <v>0</v>
      </c>
      <c r="I33" s="67">
        <v>0</v>
      </c>
      <c r="J33" s="67">
        <f>'прил.2'!N30</f>
        <v>1.8916666666666668</v>
      </c>
      <c r="K33" s="67">
        <f t="shared" si="4"/>
        <v>0</v>
      </c>
      <c r="L33" s="67">
        <f t="shared" si="5"/>
        <v>1.8916666666666668</v>
      </c>
    </row>
    <row r="34" spans="1:12" ht="32.25" customHeight="1">
      <c r="A34" s="12" t="s">
        <v>178</v>
      </c>
      <c r="B34" s="109" t="str">
        <f>'прил.1'!B31</f>
        <v>LED ДИСПЛЕЙ PHILIPS 43BDL4051D/00</v>
      </c>
      <c r="C34" s="127" t="str">
        <f>'прил.1'!C31</f>
        <v>M_ТАЭС.17</v>
      </c>
      <c r="D34" s="67">
        <f>'прил.2'!G31</f>
        <v>0.55</v>
      </c>
      <c r="E34" s="67">
        <v>0</v>
      </c>
      <c r="F34" s="67">
        <f>'прил.2'!L31</f>
        <v>0</v>
      </c>
      <c r="G34" s="67">
        <v>0</v>
      </c>
      <c r="H34" s="67">
        <f>'прил.2'!M31</f>
        <v>0</v>
      </c>
      <c r="I34" s="67">
        <v>0</v>
      </c>
      <c r="J34" s="67">
        <f>'прил.2'!N31</f>
        <v>0.55</v>
      </c>
      <c r="K34" s="67">
        <f t="shared" si="4"/>
        <v>0</v>
      </c>
      <c r="L34" s="67">
        <f t="shared" si="5"/>
        <v>0.55</v>
      </c>
    </row>
    <row r="35" spans="1:12" ht="24.75" customHeight="1">
      <c r="A35" s="12" t="s">
        <v>179</v>
      </c>
      <c r="B35" s="109" t="str">
        <f>'прил.1'!B32</f>
        <v>Проектор Epson EB-992F</v>
      </c>
      <c r="C35" s="127" t="str">
        <f>'прил.1'!C32</f>
        <v>M_ТАЭС.18</v>
      </c>
      <c r="D35" s="67">
        <f>'прил.2'!G32</f>
        <v>0.11666666666666668</v>
      </c>
      <c r="E35" s="67">
        <v>0</v>
      </c>
      <c r="F35" s="67">
        <f>'прил.2'!L32</f>
        <v>0</v>
      </c>
      <c r="G35" s="67">
        <v>0</v>
      </c>
      <c r="H35" s="67">
        <f>'прил.2'!M32</f>
        <v>0</v>
      </c>
      <c r="I35" s="67">
        <v>0</v>
      </c>
      <c r="J35" s="67">
        <f>'прил.2'!N32</f>
        <v>0.11666666666666668</v>
      </c>
      <c r="K35" s="67">
        <f t="shared" si="4"/>
        <v>0</v>
      </c>
      <c r="L35" s="67">
        <f t="shared" si="5"/>
        <v>0.11666666666666668</v>
      </c>
    </row>
    <row r="36" spans="1:12" ht="36.75" customHeight="1">
      <c r="A36" s="12" t="s">
        <v>180</v>
      </c>
      <c r="B36" s="109" t="str">
        <f>'прил.1'!B33</f>
        <v>Ноутбук APPLE MacBook Air 13.3", MVH42RU/A</v>
      </c>
      <c r="C36" s="127" t="str">
        <f>'прил.1'!C33</f>
        <v>M_ТАЭС.19</v>
      </c>
      <c r="D36" s="67">
        <f>'прил.2'!G33</f>
        <v>0.2916666666666667</v>
      </c>
      <c r="E36" s="67">
        <v>0</v>
      </c>
      <c r="F36" s="67">
        <f>'прил.2'!L33</f>
        <v>0</v>
      </c>
      <c r="G36" s="67">
        <v>0</v>
      </c>
      <c r="H36" s="67">
        <f>'прил.2'!M33</f>
        <v>0</v>
      </c>
      <c r="I36" s="67">
        <v>0</v>
      </c>
      <c r="J36" s="67">
        <f>'прил.2'!N33</f>
        <v>0.2916666666666667</v>
      </c>
      <c r="K36" s="67">
        <f t="shared" si="4"/>
        <v>0</v>
      </c>
      <c r="L36" s="67">
        <f t="shared" si="5"/>
        <v>0.2916666666666667</v>
      </c>
    </row>
    <row r="37" spans="1:12" ht="47.25">
      <c r="A37" s="142">
        <v>3</v>
      </c>
      <c r="B37" s="106" t="s">
        <v>125</v>
      </c>
      <c r="C37" s="105"/>
      <c r="D37" s="67"/>
      <c r="E37" s="67"/>
      <c r="F37" s="67"/>
      <c r="G37" s="67"/>
      <c r="H37" s="67"/>
      <c r="I37" s="67"/>
      <c r="J37" s="67"/>
      <c r="K37" s="67">
        <f t="shared" si="4"/>
        <v>0</v>
      </c>
      <c r="L37" s="67">
        <f t="shared" si="1"/>
        <v>0</v>
      </c>
    </row>
    <row r="38" spans="1:12" ht="42.75" customHeight="1">
      <c r="A38" s="12" t="s">
        <v>153</v>
      </c>
      <c r="B38" s="109" t="str">
        <f>'прил.1'!B35</f>
        <v>Оснащение интеллектуальной системой учета</v>
      </c>
      <c r="C38" s="162">
        <f>'прил.1'!C38</f>
        <v>0</v>
      </c>
      <c r="D38" s="67">
        <f>'прил.2'!G35</f>
        <v>523.3346335753585</v>
      </c>
      <c r="E38" s="67">
        <f>SUM(E39:E46)</f>
        <v>0</v>
      </c>
      <c r="F38" s="67">
        <f>SUM(F39:F46)</f>
        <v>151.21753991718353</v>
      </c>
      <c r="G38" s="67">
        <v>0</v>
      </c>
      <c r="H38" s="67">
        <f>'прил.2'!M35</f>
        <v>174.06666666666666</v>
      </c>
      <c r="I38" s="67">
        <v>0</v>
      </c>
      <c r="J38" s="67">
        <f>'прил.2'!N35</f>
        <v>198.05</v>
      </c>
      <c r="K38" s="67">
        <f t="shared" si="4"/>
        <v>0</v>
      </c>
      <c r="L38" s="67">
        <f t="shared" si="1"/>
        <v>523.3342065838502</v>
      </c>
    </row>
    <row r="39" spans="1:12" s="135" customFormat="1" ht="15.75">
      <c r="A39" s="128" t="s">
        <v>159</v>
      </c>
      <c r="B39" s="134" t="str">
        <f>'прил.1'!B36</f>
        <v>Электросчетчик однофазный</v>
      </c>
      <c r="C39" s="163">
        <f>'прил.1'!C39</f>
        <v>0</v>
      </c>
      <c r="D39" s="137">
        <f>'прил.2'!G36</f>
        <v>378.63816379983706</v>
      </c>
      <c r="E39" s="137">
        <v>0</v>
      </c>
      <c r="F39" s="137">
        <f>'прил.2'!L36</f>
        <v>109.40749565416667</v>
      </c>
      <c r="G39" s="137">
        <v>0</v>
      </c>
      <c r="H39" s="137">
        <f>'прил.2'!M36</f>
        <v>125.93646999925333</v>
      </c>
      <c r="I39" s="137">
        <v>0</v>
      </c>
      <c r="J39" s="137">
        <f>'прил.2'!N36</f>
        <v>143.29419814641707</v>
      </c>
      <c r="K39" s="137">
        <f t="shared" si="4"/>
        <v>0</v>
      </c>
      <c r="L39" s="137">
        <f t="shared" si="1"/>
        <v>378.63816379983706</v>
      </c>
    </row>
    <row r="40" spans="1:12" s="135" customFormat="1" ht="15.75">
      <c r="A40" s="136" t="s">
        <v>163</v>
      </c>
      <c r="B40" s="134" t="str">
        <f>'прил.1'!B37</f>
        <v>Электросчетчик трехфазный</v>
      </c>
      <c r="C40" s="163">
        <f>'прил.1'!C40</f>
        <v>0</v>
      </c>
      <c r="D40" s="137">
        <f>'прил.2'!G37</f>
        <v>17.838641908008338</v>
      </c>
      <c r="E40" s="137">
        <v>0</v>
      </c>
      <c r="F40" s="137">
        <f>'прил.2'!L37</f>
        <v>5.154475495656566</v>
      </c>
      <c r="G40" s="137">
        <v>0</v>
      </c>
      <c r="H40" s="137">
        <f>'прил.2'!M37</f>
        <v>5.93319904398998</v>
      </c>
      <c r="I40" s="137">
        <v>0</v>
      </c>
      <c r="J40" s="137">
        <f>'прил.2'!N37</f>
        <v>6.750967368361788</v>
      </c>
      <c r="K40" s="137">
        <f t="shared" si="4"/>
        <v>0</v>
      </c>
      <c r="L40" s="137">
        <f t="shared" si="1"/>
        <v>17.838641908008334</v>
      </c>
    </row>
    <row r="41" spans="1:12" s="135" customFormat="1" ht="31.5">
      <c r="A41" s="136" t="s">
        <v>164</v>
      </c>
      <c r="B41" s="134" t="str">
        <f>'прил.1'!B38</f>
        <v>Устройство сбора и передачи данных </v>
      </c>
      <c r="C41" s="163">
        <f>'прил.1'!C41</f>
        <v>0</v>
      </c>
      <c r="D41" s="137">
        <f>'прил.2'!G38</f>
        <v>28.273381470702528</v>
      </c>
      <c r="E41" s="137">
        <v>0</v>
      </c>
      <c r="F41" s="137">
        <f>'прил.2'!L38</f>
        <v>8.169593443358586</v>
      </c>
      <c r="G41" s="137">
        <v>0</v>
      </c>
      <c r="H41" s="137">
        <f>'прил.2'!M38</f>
        <v>9.40383246535305</v>
      </c>
      <c r="I41" s="137">
        <v>0</v>
      </c>
      <c r="J41" s="137">
        <f>'прил.2'!N38</f>
        <v>10.699955561990892</v>
      </c>
      <c r="K41" s="137">
        <f t="shared" si="4"/>
        <v>0</v>
      </c>
      <c r="L41" s="137">
        <f t="shared" si="1"/>
        <v>28.273381470702528</v>
      </c>
    </row>
    <row r="42" spans="1:12" s="135" customFormat="1" ht="15.75">
      <c r="A42" s="136" t="s">
        <v>165</v>
      </c>
      <c r="B42" s="134" t="str">
        <f>'прил.1'!B39</f>
        <v>Серверное оборудование</v>
      </c>
      <c r="C42" s="163">
        <f>'прил.1'!C42</f>
        <v>0</v>
      </c>
      <c r="D42" s="137">
        <f>'прил.2'!G39</f>
        <v>0</v>
      </c>
      <c r="E42" s="137"/>
      <c r="F42" s="137">
        <f>'прил.2'!L39</f>
        <v>0</v>
      </c>
      <c r="G42" s="137"/>
      <c r="H42" s="137">
        <f>'прил.2'!M39</f>
        <v>0</v>
      </c>
      <c r="I42" s="137"/>
      <c r="J42" s="137">
        <f>'прил.2'!N39</f>
        <v>0</v>
      </c>
      <c r="K42" s="137">
        <f t="shared" si="4"/>
        <v>0</v>
      </c>
      <c r="L42" s="137">
        <f t="shared" si="1"/>
        <v>0</v>
      </c>
    </row>
    <row r="43" spans="1:12" s="135" customFormat="1" ht="15.75">
      <c r="A43" s="136" t="s">
        <v>166</v>
      </c>
      <c r="B43" s="134" t="str">
        <f>'прил.1'!B40</f>
        <v>ПИР</v>
      </c>
      <c r="C43" s="163">
        <f>'прил.1'!C43</f>
        <v>0</v>
      </c>
      <c r="D43" s="137">
        <f>'прил.2'!G40</f>
        <v>2.5978604720400487</v>
      </c>
      <c r="E43" s="137">
        <v>0</v>
      </c>
      <c r="F43" s="137">
        <f>'прил.2'!L40</f>
        <v>0.7506517712121212</v>
      </c>
      <c r="G43" s="137"/>
      <c r="H43" s="137">
        <f>'прил.2'!M40</f>
        <v>0.8640581132024243</v>
      </c>
      <c r="I43" s="137"/>
      <c r="J43" s="137">
        <f>'прил.2'!N40</f>
        <v>0.983150587625503</v>
      </c>
      <c r="K43" s="137">
        <f t="shared" si="4"/>
        <v>0</v>
      </c>
      <c r="L43" s="137">
        <f t="shared" si="1"/>
        <v>2.5978604720400487</v>
      </c>
    </row>
    <row r="44" spans="1:12" s="135" customFormat="1" ht="15.75">
      <c r="A44" s="136" t="s">
        <v>167</v>
      </c>
      <c r="B44" s="134" t="str">
        <f>'прил.1'!B41</f>
        <v>Материалы</v>
      </c>
      <c r="C44" s="163" t="str">
        <f>'прил.1'!C44</f>
        <v>M_ТАЭС.21</v>
      </c>
      <c r="D44" s="137">
        <f>'прил.2'!G41</f>
        <v>0</v>
      </c>
      <c r="E44" s="137">
        <v>0</v>
      </c>
      <c r="F44" s="137">
        <f>'прил.2'!L41</f>
        <v>0</v>
      </c>
      <c r="G44" s="137">
        <v>0</v>
      </c>
      <c r="H44" s="137">
        <f>'прил.2'!M41</f>
        <v>0</v>
      </c>
      <c r="I44" s="137"/>
      <c r="J44" s="137">
        <f>'прил.2'!N41</f>
        <v>0</v>
      </c>
      <c r="K44" s="137">
        <f t="shared" si="4"/>
        <v>0</v>
      </c>
      <c r="L44" s="137">
        <f t="shared" si="1"/>
        <v>0</v>
      </c>
    </row>
    <row r="45" spans="1:12" s="135" customFormat="1" ht="15.75">
      <c r="A45" s="136" t="s">
        <v>168</v>
      </c>
      <c r="B45" s="134" t="str">
        <f>'прил.1'!B42</f>
        <v>СМР, ПНР</v>
      </c>
      <c r="C45" s="163" t="e">
        <f>'прил.1'!#REF!</f>
        <v>#REF!</v>
      </c>
      <c r="D45" s="137">
        <f>'прил.2'!G42</f>
        <v>94.19495690220944</v>
      </c>
      <c r="E45" s="137"/>
      <c r="F45" s="137">
        <f>'прил.2'!L42</f>
        <v>27.217632355123236</v>
      </c>
      <c r="G45" s="137"/>
      <c r="H45" s="137">
        <f>'прил.2'!M42</f>
        <v>31.32959510723564</v>
      </c>
      <c r="I45" s="137"/>
      <c r="J45" s="137">
        <f>'прил.2'!N42</f>
        <v>35.64772943985057</v>
      </c>
      <c r="K45" s="137">
        <f t="shared" si="4"/>
        <v>0</v>
      </c>
      <c r="L45" s="137">
        <f t="shared" si="1"/>
        <v>94.19495690220944</v>
      </c>
    </row>
    <row r="46" spans="1:12" s="135" customFormat="1" ht="15.75">
      <c r="A46" s="136" t="s">
        <v>169</v>
      </c>
      <c r="B46" s="134" t="str">
        <f>'прил.1'!B43</f>
        <v>Трансформатор тока</v>
      </c>
      <c r="C46" s="164">
        <f>'прил.1'!C45</f>
        <v>0</v>
      </c>
      <c r="D46" s="137">
        <f>'прил.2'!G43</f>
        <v>1.791629022561063</v>
      </c>
      <c r="E46" s="137">
        <v>0</v>
      </c>
      <c r="F46" s="137">
        <f>'прил.2'!L43</f>
        <v>0.5176911976663583</v>
      </c>
      <c r="G46" s="137">
        <v>0</v>
      </c>
      <c r="H46" s="137">
        <f>'прил.2'!M43</f>
        <v>0.5959025164954858</v>
      </c>
      <c r="I46" s="137">
        <v>0</v>
      </c>
      <c r="J46" s="137">
        <f>'прил.2'!N43</f>
        <v>0.6780353083992189</v>
      </c>
      <c r="K46" s="137">
        <f t="shared" si="4"/>
        <v>0</v>
      </c>
      <c r="L46" s="137">
        <f t="shared" si="1"/>
        <v>1.791629022561063</v>
      </c>
    </row>
    <row r="47" spans="1:12" ht="25.5" customHeight="1">
      <c r="A47" s="12" t="s">
        <v>127</v>
      </c>
      <c r="B47" s="104" t="str">
        <f>'прил.1'!B44</f>
        <v>Покупка здания в г. Тверь</v>
      </c>
      <c r="C47" s="101">
        <f>'прил.1'!C46</f>
        <v>0</v>
      </c>
      <c r="D47" s="67">
        <f>'прил.2'!G44</f>
        <v>126.6</v>
      </c>
      <c r="E47" s="67">
        <v>0</v>
      </c>
      <c r="F47" s="67">
        <f>'прил.2'!L44</f>
        <v>126.6</v>
      </c>
      <c r="G47" s="67">
        <v>0</v>
      </c>
      <c r="H47" s="67">
        <f>'прил.2'!M44</f>
        <v>0</v>
      </c>
      <c r="I47" s="67">
        <v>0</v>
      </c>
      <c r="J47" s="67">
        <f>'прил.2'!N44</f>
        <v>0</v>
      </c>
      <c r="K47" s="67">
        <f t="shared" si="4"/>
        <v>0</v>
      </c>
      <c r="L47" s="67">
        <f t="shared" si="1"/>
        <v>126.6</v>
      </c>
    </row>
    <row r="48" spans="1:12" ht="15.75">
      <c r="A48" s="48"/>
      <c r="B48" s="49"/>
      <c r="C48" s="29"/>
      <c r="D48" s="125">
        <f>SUM(D17:D47)-D39-D40-D41-D46-D42-D43-D44-D45</f>
        <v>767.4929669086919</v>
      </c>
      <c r="E48" s="125">
        <f aca="true" t="shared" si="6" ref="E48:L48">SUM(E17:E47)-E39-E40-E41-E46-E42-E43-E44-E45</f>
        <v>0</v>
      </c>
      <c r="F48" s="125">
        <f t="shared" si="6"/>
        <v>287.8092065838502</v>
      </c>
      <c r="G48" s="125">
        <f t="shared" si="6"/>
        <v>0</v>
      </c>
      <c r="H48" s="125">
        <f t="shared" si="6"/>
        <v>237.17500000000004</v>
      </c>
      <c r="I48" s="125">
        <f t="shared" si="6"/>
        <v>0</v>
      </c>
      <c r="J48" s="125">
        <f t="shared" si="6"/>
        <v>242.50833333333335</v>
      </c>
      <c r="K48" s="125">
        <f t="shared" si="6"/>
        <v>0</v>
      </c>
      <c r="L48" s="125">
        <f t="shared" si="6"/>
        <v>767.4925399171836</v>
      </c>
    </row>
    <row r="49" spans="1:12" ht="15.75">
      <c r="A49" s="48"/>
      <c r="B49" s="49"/>
      <c r="C49" s="29"/>
      <c r="D49" s="29"/>
      <c r="E49" s="29"/>
      <c r="F49" s="29"/>
      <c r="G49" s="29"/>
      <c r="H49" s="29"/>
      <c r="I49" s="29"/>
      <c r="J49" s="29"/>
      <c r="K49" s="29"/>
      <c r="L49" s="69"/>
    </row>
    <row r="50" spans="1:12" ht="15.75">
      <c r="A50" s="48"/>
      <c r="B50" s="4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>
      <c r="A51" s="48"/>
      <c r="B51" s="4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5.75">
      <c r="A52" s="48"/>
      <c r="B52" s="4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5.75">
      <c r="A53" s="48"/>
      <c r="B53" s="4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5.75">
      <c r="A54" s="48"/>
      <c r="B54" s="4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5.75">
      <c r="A55" s="48"/>
      <c r="B55" s="4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5.75">
      <c r="A56" s="48"/>
      <c r="B56" s="4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.75">
      <c r="A57" s="48"/>
      <c r="B57" s="4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5.75">
      <c r="A58" s="48"/>
      <c r="B58" s="4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5.75">
      <c r="A59" s="48"/>
      <c r="B59" s="4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.75">
      <c r="A60" s="48"/>
      <c r="B60" s="4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.75">
      <c r="A61" s="48"/>
      <c r="B61" s="4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.75">
      <c r="A62" s="48"/>
      <c r="B62" s="4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5.75">
      <c r="A63" s="48"/>
      <c r="B63" s="4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.75">
      <c r="A64" s="48"/>
      <c r="B64" s="4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48"/>
      <c r="B65" s="4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.75">
      <c r="A66" s="48"/>
      <c r="B66" s="4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48"/>
      <c r="B67" s="4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5.75">
      <c r="A68" s="48"/>
      <c r="B68" s="4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5.75">
      <c r="A69" s="48"/>
      <c r="B69" s="4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5.75">
      <c r="A70" s="48"/>
      <c r="B70" s="4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.75">
      <c r="A71" s="48"/>
      <c r="B71" s="4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.75">
      <c r="A72" s="48"/>
      <c r="B72" s="4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.75">
      <c r="A73" s="48"/>
      <c r="B73" s="4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.75">
      <c r="A74" s="48"/>
      <c r="B74" s="4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5.75">
      <c r="A75" s="48"/>
      <c r="B75" s="4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.75">
      <c r="A76" s="48"/>
      <c r="B76" s="4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5.75">
      <c r="A77" s="48"/>
      <c r="B77" s="4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5.75">
      <c r="A78" s="48"/>
      <c r="B78" s="4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5.75">
      <c r="A79" s="48"/>
      <c r="B79" s="4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5.75">
      <c r="A80" s="48"/>
      <c r="B80" s="4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5.75">
      <c r="A81" s="48"/>
      <c r="B81" s="4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5.75">
      <c r="A82" s="48"/>
      <c r="B82" s="4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5.75">
      <c r="A83" s="48"/>
      <c r="B83" s="4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5.75">
      <c r="A84" s="48"/>
      <c r="B84" s="4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5.75">
      <c r="A85" s="48"/>
      <c r="B85" s="4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5.75">
      <c r="A86" s="48"/>
      <c r="B86" s="4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5.75">
      <c r="A87" s="48"/>
      <c r="B87" s="4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.75">
      <c r="A88" s="48"/>
      <c r="B88" s="4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.75">
      <c r="A89" s="48"/>
      <c r="B89" s="4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5.75">
      <c r="A90" s="48"/>
      <c r="B90" s="4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5.75">
      <c r="A91" s="48"/>
      <c r="B91" s="4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5.75">
      <c r="A92" s="48"/>
      <c r="B92" s="4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5.75">
      <c r="A93" s="48"/>
      <c r="B93" s="4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5.75">
      <c r="A94" s="48"/>
      <c r="B94" s="4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5.75">
      <c r="A95" s="48"/>
      <c r="B95" s="4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5.75">
      <c r="A96" s="48"/>
      <c r="B96" s="4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5.75">
      <c r="A97" s="48"/>
      <c r="B97" s="4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5.75">
      <c r="A98" s="48"/>
      <c r="B98" s="4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5.75">
      <c r="A99" s="48"/>
      <c r="B99" s="4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ht="15.75">
      <c r="A100" s="48"/>
      <c r="B100" s="4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5.75">
      <c r="A101" s="48"/>
      <c r="B101" s="4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3" spans="1:12" ht="15.7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</row>
  </sheetData>
  <sheetProtection/>
  <mergeCells count="21">
    <mergeCell ref="A10:A14"/>
    <mergeCell ref="I12:J12"/>
    <mergeCell ref="K11:L11"/>
    <mergeCell ref="I11:J11"/>
    <mergeCell ref="D13:D14"/>
    <mergeCell ref="G12:H12"/>
    <mergeCell ref="K12:L12"/>
    <mergeCell ref="E12:F12"/>
    <mergeCell ref="E10:L10"/>
    <mergeCell ref="B10:B14"/>
    <mergeCell ref="C38:C46"/>
    <mergeCell ref="A103:L103"/>
    <mergeCell ref="C10:C14"/>
    <mergeCell ref="D10:D12"/>
    <mergeCell ref="E11:F11"/>
    <mergeCell ref="G11:H11"/>
    <mergeCell ref="A4:H4"/>
    <mergeCell ref="A5:H5"/>
    <mergeCell ref="A7:H7"/>
    <mergeCell ref="A8:H8"/>
    <mergeCell ref="A9:L9"/>
  </mergeCells>
  <printOptions/>
  <pageMargins left="0.7" right="0.7" top="0.75" bottom="0.75" header="0.3" footer="0.3"/>
  <pageSetup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zoomScale="68" zoomScaleNormal="68" zoomScalePageLayoutView="0" workbookViewId="0" topLeftCell="A1">
      <selection activeCell="D24" sqref="D24"/>
    </sheetView>
  </sheetViews>
  <sheetFormatPr defaultColWidth="83.125" defaultRowHeight="12.75"/>
  <cols>
    <col min="1" max="1" width="10.125" style="94" customWidth="1"/>
    <col min="2" max="2" width="69.375" style="81" customWidth="1"/>
    <col min="3" max="3" width="19.00390625" style="77" customWidth="1"/>
    <col min="4" max="5" width="19.625" style="77" customWidth="1"/>
    <col min="6" max="6" width="20.25390625" style="77" customWidth="1"/>
    <col min="7" max="7" width="105.00390625" style="77" customWidth="1"/>
    <col min="8" max="8" width="179.875" style="77" customWidth="1"/>
    <col min="9" max="254" width="10.25390625" style="77" customWidth="1"/>
    <col min="255" max="255" width="10.125" style="77" customWidth="1"/>
    <col min="256" max="16384" width="83.125" style="77" customWidth="1"/>
  </cols>
  <sheetData>
    <row r="1" spans="1:50" ht="18.75">
      <c r="A1" s="76"/>
      <c r="B1" s="76"/>
      <c r="C1" s="76"/>
      <c r="D1" s="76"/>
      <c r="E1" s="76"/>
      <c r="F1" s="2" t="s">
        <v>155</v>
      </c>
      <c r="H1" s="76"/>
      <c r="I1" s="76"/>
      <c r="J1" s="76"/>
      <c r="K1" s="76"/>
      <c r="L1" s="76"/>
      <c r="M1" s="76"/>
      <c r="N1" s="76"/>
      <c r="O1" s="1"/>
      <c r="P1" s="1"/>
      <c r="Q1" s="1"/>
      <c r="R1" s="1"/>
      <c r="S1" s="1"/>
      <c r="T1" s="1"/>
      <c r="U1" s="76"/>
      <c r="V1" s="1"/>
      <c r="W1" s="1"/>
      <c r="X1" s="1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R1" s="76"/>
      <c r="AS1" s="76"/>
      <c r="AT1" s="76"/>
      <c r="AU1" s="76"/>
      <c r="AV1" s="76"/>
      <c r="AW1" s="76"/>
      <c r="AX1" s="76"/>
    </row>
    <row r="2" spans="1:50" ht="18.75">
      <c r="A2" s="76"/>
      <c r="B2" s="76"/>
      <c r="C2" s="76"/>
      <c r="D2" s="76"/>
      <c r="E2" s="76"/>
      <c r="F2" s="3" t="s">
        <v>154</v>
      </c>
      <c r="H2" s="76"/>
      <c r="I2" s="76"/>
      <c r="J2" s="76"/>
      <c r="K2" s="76"/>
      <c r="L2" s="76"/>
      <c r="M2" s="76"/>
      <c r="N2" s="76"/>
      <c r="O2" s="1"/>
      <c r="P2" s="1"/>
      <c r="Q2" s="1"/>
      <c r="R2" s="1"/>
      <c r="S2" s="1"/>
      <c r="T2" s="1"/>
      <c r="U2" s="76"/>
      <c r="V2" s="1"/>
      <c r="W2" s="1"/>
      <c r="X2" s="1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R2" s="76"/>
      <c r="AS2" s="76"/>
      <c r="AT2" s="76"/>
      <c r="AU2" s="76"/>
      <c r="AV2" s="76"/>
      <c r="AW2" s="76"/>
      <c r="AX2" s="76"/>
    </row>
    <row r="3" spans="1:50" ht="18.75">
      <c r="A3" s="76"/>
      <c r="B3" s="76"/>
      <c r="C3" s="76"/>
      <c r="D3" s="76"/>
      <c r="E3" s="76"/>
      <c r="F3" s="3"/>
      <c r="H3" s="76"/>
      <c r="I3" s="76"/>
      <c r="J3" s="76"/>
      <c r="K3" s="76"/>
      <c r="L3" s="76"/>
      <c r="M3" s="76"/>
      <c r="N3" s="76"/>
      <c r="O3" s="1"/>
      <c r="P3" s="1"/>
      <c r="Q3" s="1"/>
      <c r="R3" s="1"/>
      <c r="S3" s="1"/>
      <c r="T3" s="1"/>
      <c r="U3" s="76"/>
      <c r="V3" s="1"/>
      <c r="W3" s="1"/>
      <c r="X3" s="1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R3" s="76"/>
      <c r="AS3" s="76"/>
      <c r="AT3" s="76"/>
      <c r="AU3" s="76"/>
      <c r="AV3" s="76"/>
      <c r="AW3" s="76"/>
      <c r="AX3" s="76"/>
    </row>
    <row r="4" spans="1:50" ht="18.75">
      <c r="A4" s="76"/>
      <c r="B4" s="76"/>
      <c r="C4" s="76"/>
      <c r="D4" s="76"/>
      <c r="E4" s="76"/>
      <c r="F4" s="78"/>
      <c r="H4" s="76"/>
      <c r="I4" s="76"/>
      <c r="J4" s="76"/>
      <c r="K4" s="76"/>
      <c r="L4" s="76"/>
      <c r="M4" s="76"/>
      <c r="N4" s="76"/>
      <c r="O4" s="1"/>
      <c r="P4" s="1"/>
      <c r="Q4" s="1"/>
      <c r="R4" s="1"/>
      <c r="S4" s="1"/>
      <c r="T4" s="1"/>
      <c r="U4" s="76"/>
      <c r="V4" s="1"/>
      <c r="W4" s="1"/>
      <c r="X4" s="1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R4" s="76"/>
      <c r="AS4" s="76"/>
      <c r="AT4" s="76"/>
      <c r="AU4" s="76"/>
      <c r="AV4" s="76"/>
      <c r="AW4" s="76"/>
      <c r="AX4" s="76"/>
    </row>
    <row r="5" spans="1:50" ht="15.75">
      <c r="A5" s="196" t="s">
        <v>38</v>
      </c>
      <c r="B5" s="196"/>
      <c r="C5" s="196"/>
      <c r="D5" s="196"/>
      <c r="E5" s="196"/>
      <c r="F5" s="196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</row>
    <row r="6" spans="1:50" ht="15.75">
      <c r="A6" s="197" t="s">
        <v>128</v>
      </c>
      <c r="B6" s="197"/>
      <c r="C6" s="197"/>
      <c r="D6" s="197"/>
      <c r="E6" s="197"/>
      <c r="F6" s="197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6"/>
      <c r="AS6" s="76"/>
      <c r="AT6" s="76"/>
      <c r="AU6" s="76"/>
      <c r="AV6" s="76"/>
      <c r="AW6" s="76"/>
      <c r="AX6" s="76"/>
    </row>
    <row r="7" spans="1:6" ht="15.75">
      <c r="A7" s="191" t="str">
        <f>'прил.4'!A7</f>
        <v>Обособленное подразделение "АтомЭнергоСбыт" Тверь</v>
      </c>
      <c r="B7" s="191"/>
      <c r="C7" s="191"/>
      <c r="D7" s="191"/>
      <c r="E7" s="191"/>
      <c r="F7" s="191"/>
    </row>
    <row r="8" spans="1:6" ht="18.75">
      <c r="A8" s="198"/>
      <c r="B8" s="198"/>
      <c r="C8" s="198"/>
      <c r="D8" s="198"/>
      <c r="E8" s="198"/>
      <c r="F8" s="198"/>
    </row>
    <row r="9" spans="1:6" ht="15.75">
      <c r="A9" s="199" t="s">
        <v>2</v>
      </c>
      <c r="B9" s="199"/>
      <c r="C9" s="199"/>
      <c r="D9" s="199"/>
      <c r="E9" s="199"/>
      <c r="F9" s="199"/>
    </row>
    <row r="10" spans="1:6" ht="15.75">
      <c r="A10" s="200"/>
      <c r="B10" s="200"/>
      <c r="C10" s="200"/>
      <c r="D10" s="200"/>
      <c r="E10" s="200"/>
      <c r="F10" s="200"/>
    </row>
    <row r="11" spans="1:31" ht="15.75">
      <c r="A11" s="191" t="s">
        <v>129</v>
      </c>
      <c r="B11" s="191"/>
      <c r="C11" s="191"/>
      <c r="D11" s="191"/>
      <c r="E11" s="191"/>
      <c r="F11" s="191"/>
      <c r="K11" s="81"/>
      <c r="P11" s="81"/>
      <c r="U11" s="81"/>
      <c r="Z11" s="81"/>
      <c r="AE11" s="81"/>
    </row>
    <row r="12" spans="1:6" ht="15.75">
      <c r="A12" s="192" t="s">
        <v>130</v>
      </c>
      <c r="B12" s="192"/>
      <c r="C12" s="192"/>
      <c r="D12" s="192"/>
      <c r="E12" s="192"/>
      <c r="F12" s="192"/>
    </row>
    <row r="13" spans="1:30" ht="15.75">
      <c r="A13" s="77"/>
      <c r="B13" s="77"/>
      <c r="F13" s="82" t="s">
        <v>39</v>
      </c>
      <c r="Z13" s="83"/>
      <c r="AA13" s="83"/>
      <c r="AB13" s="83"/>
      <c r="AC13" s="83"/>
      <c r="AD13" s="83"/>
    </row>
    <row r="14" spans="1:30" ht="15.75">
      <c r="A14" s="193" t="s">
        <v>40</v>
      </c>
      <c r="B14" s="194" t="s">
        <v>41</v>
      </c>
      <c r="C14" s="84" t="s">
        <v>160</v>
      </c>
      <c r="D14" s="85" t="s">
        <v>171</v>
      </c>
      <c r="E14" s="85" t="s">
        <v>186</v>
      </c>
      <c r="F14" s="85" t="s">
        <v>42</v>
      </c>
      <c r="Z14" s="83"/>
      <c r="AA14" s="83"/>
      <c r="AB14" s="83"/>
      <c r="AC14" s="83"/>
      <c r="AD14" s="83"/>
    </row>
    <row r="15" spans="1:6" ht="15.75">
      <c r="A15" s="193"/>
      <c r="B15" s="194"/>
      <c r="C15" s="86" t="s">
        <v>43</v>
      </c>
      <c r="D15" s="86" t="s">
        <v>43</v>
      </c>
      <c r="E15" s="86" t="s">
        <v>43</v>
      </c>
      <c r="F15" s="86" t="s">
        <v>11</v>
      </c>
    </row>
    <row r="16" spans="1:6" ht="15.75">
      <c r="A16" s="87">
        <v>1</v>
      </c>
      <c r="B16" s="88">
        <v>2</v>
      </c>
      <c r="C16" s="87" t="s">
        <v>44</v>
      </c>
      <c r="D16" s="87" t="s">
        <v>45</v>
      </c>
      <c r="E16" s="87" t="s">
        <v>131</v>
      </c>
      <c r="F16" s="87" t="s">
        <v>46</v>
      </c>
    </row>
    <row r="17" spans="1:256" ht="15.75">
      <c r="A17" s="195" t="s">
        <v>47</v>
      </c>
      <c r="B17" s="195"/>
      <c r="C17" s="119">
        <f>'прил.1'!K45</f>
        <v>345.37</v>
      </c>
      <c r="D17" s="119">
        <f>'прил.1'!P45</f>
        <v>284.61</v>
      </c>
      <c r="E17" s="119">
        <f>'прил.1'!U45</f>
        <v>291.01</v>
      </c>
      <c r="F17" s="119">
        <f>F18</f>
        <v>920.99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6" ht="15.75">
      <c r="A18" s="20" t="s">
        <v>48</v>
      </c>
      <c r="B18" s="21" t="s">
        <v>49</v>
      </c>
      <c r="C18" s="120">
        <f>C19+C29+C39</f>
        <v>345.37</v>
      </c>
      <c r="D18" s="120">
        <f>D19+D29+D39</f>
        <v>284.61</v>
      </c>
      <c r="E18" s="120">
        <f>E19+E29+E39</f>
        <v>291.01</v>
      </c>
      <c r="F18" s="126">
        <f>+C18+D18+E18</f>
        <v>920.99</v>
      </c>
    </row>
    <row r="19" spans="1:6" ht="15.75">
      <c r="A19" s="20" t="s">
        <v>50</v>
      </c>
      <c r="B19" s="22" t="s">
        <v>51</v>
      </c>
      <c r="C19" s="120">
        <f>'прил.1'!K45-C29-C39</f>
        <v>316.648831132</v>
      </c>
      <c r="D19" s="120">
        <f>'прил.1'!P45-D29-D39</f>
        <v>235.29000247200003</v>
      </c>
      <c r="E19" s="120">
        <f>'прил.1'!U45-E29-E39</f>
        <v>201.745221628</v>
      </c>
      <c r="F19" s="126">
        <f>+C19+D19+E19</f>
        <v>753.684055232</v>
      </c>
    </row>
    <row r="20" spans="1:6" ht="31.5">
      <c r="A20" s="20" t="s">
        <v>52</v>
      </c>
      <c r="B20" s="23" t="s">
        <v>132</v>
      </c>
      <c r="C20" s="120"/>
      <c r="D20" s="120"/>
      <c r="E20" s="120"/>
      <c r="F20" s="126"/>
    </row>
    <row r="21" spans="1:6" ht="15.75" hidden="1">
      <c r="A21" s="20"/>
      <c r="B21" s="24"/>
      <c r="C21" s="120"/>
      <c r="D21" s="120"/>
      <c r="E21" s="120"/>
      <c r="F21" s="126"/>
    </row>
    <row r="22" spans="1:6" ht="15.75" hidden="1">
      <c r="A22" s="20"/>
      <c r="B22" s="24"/>
      <c r="C22" s="120"/>
      <c r="D22" s="120"/>
      <c r="E22" s="120"/>
      <c r="F22" s="120"/>
    </row>
    <row r="23" spans="1:6" ht="15.75" hidden="1">
      <c r="A23" s="20"/>
      <c r="B23" s="24"/>
      <c r="C23" s="120"/>
      <c r="D23" s="120"/>
      <c r="E23" s="120"/>
      <c r="F23" s="120"/>
    </row>
    <row r="24" spans="1:6" ht="31.5">
      <c r="A24" s="20" t="s">
        <v>53</v>
      </c>
      <c r="B24" s="23" t="s">
        <v>133</v>
      </c>
      <c r="C24" s="120"/>
      <c r="D24" s="120"/>
      <c r="E24" s="120"/>
      <c r="F24" s="120"/>
    </row>
    <row r="25" spans="1:6" ht="15.75" hidden="1">
      <c r="A25" s="20"/>
      <c r="B25" s="23"/>
      <c r="C25" s="120"/>
      <c r="D25" s="120"/>
      <c r="E25" s="120"/>
      <c r="F25" s="120"/>
    </row>
    <row r="26" spans="1:6" ht="15.75" hidden="1">
      <c r="A26" s="20"/>
      <c r="B26" s="24"/>
      <c r="C26" s="120"/>
      <c r="D26" s="120"/>
      <c r="E26" s="120"/>
      <c r="F26" s="120"/>
    </row>
    <row r="27" spans="1:6" ht="15.75" hidden="1">
      <c r="A27" s="20"/>
      <c r="B27" s="24"/>
      <c r="C27" s="120"/>
      <c r="D27" s="120"/>
      <c r="E27" s="120"/>
      <c r="F27" s="120"/>
    </row>
    <row r="28" spans="1:6" ht="15.75">
      <c r="A28" s="20" t="s">
        <v>54</v>
      </c>
      <c r="B28" s="23" t="s">
        <v>55</v>
      </c>
      <c r="C28" s="120"/>
      <c r="D28" s="120"/>
      <c r="E28" s="120"/>
      <c r="F28" s="120"/>
    </row>
    <row r="29" spans="1:6" ht="15.75">
      <c r="A29" s="20" t="s">
        <v>56</v>
      </c>
      <c r="B29" s="23" t="s">
        <v>57</v>
      </c>
      <c r="C29" s="120">
        <f>C31</f>
        <v>23.93430739</v>
      </c>
      <c r="D29" s="120">
        <f>D31</f>
        <v>41.099997939999994</v>
      </c>
      <c r="E29" s="120">
        <f>E31</f>
        <v>74.38731530999999</v>
      </c>
      <c r="F29" s="126">
        <f>+C29+D29+E29</f>
        <v>139.42162064</v>
      </c>
    </row>
    <row r="30" spans="1:6" ht="31.5">
      <c r="A30" s="20" t="s">
        <v>58</v>
      </c>
      <c r="B30" s="23" t="s">
        <v>134</v>
      </c>
      <c r="C30" s="120"/>
      <c r="D30" s="120"/>
      <c r="E30" s="120"/>
      <c r="F30" s="126"/>
    </row>
    <row r="31" spans="1:6" ht="15.75">
      <c r="A31" s="20" t="s">
        <v>135</v>
      </c>
      <c r="B31" s="24" t="s">
        <v>136</v>
      </c>
      <c r="C31" s="120">
        <v>23.93430739</v>
      </c>
      <c r="D31" s="120">
        <v>41.099997939999994</v>
      </c>
      <c r="E31" s="120">
        <v>74.38731530999999</v>
      </c>
      <c r="F31" s="126">
        <f>+C31+D31+E31</f>
        <v>139.42162064</v>
      </c>
    </row>
    <row r="32" spans="1:6" ht="15.75" hidden="1">
      <c r="A32" s="20"/>
      <c r="B32" s="24"/>
      <c r="C32" s="120"/>
      <c r="D32" s="120"/>
      <c r="E32" s="120"/>
      <c r="F32" s="90"/>
    </row>
    <row r="33" spans="1:6" ht="15.75" hidden="1">
      <c r="A33" s="20"/>
      <c r="B33" s="24"/>
      <c r="C33" s="120"/>
      <c r="D33" s="120"/>
      <c r="E33" s="120"/>
      <c r="F33" s="90"/>
    </row>
    <row r="34" spans="1:6" ht="15.75">
      <c r="A34" s="20" t="s">
        <v>59</v>
      </c>
      <c r="B34" s="23" t="s">
        <v>137</v>
      </c>
      <c r="C34" s="120"/>
      <c r="D34" s="120"/>
      <c r="E34" s="120"/>
      <c r="F34" s="90"/>
    </row>
    <row r="35" spans="1:6" ht="31.5">
      <c r="A35" s="20" t="s">
        <v>60</v>
      </c>
      <c r="B35" s="23" t="s">
        <v>61</v>
      </c>
      <c r="C35" s="120"/>
      <c r="D35" s="120"/>
      <c r="E35" s="120"/>
      <c r="F35" s="90"/>
    </row>
    <row r="36" spans="1:6" ht="15.75">
      <c r="A36" s="20" t="s">
        <v>138</v>
      </c>
      <c r="B36" s="24" t="s">
        <v>136</v>
      </c>
      <c r="C36" s="120"/>
      <c r="D36" s="120"/>
      <c r="E36" s="120"/>
      <c r="F36" s="90"/>
    </row>
    <row r="37" spans="1:6" ht="15.75" hidden="1">
      <c r="A37" s="20"/>
      <c r="B37" s="24"/>
      <c r="C37" s="120"/>
      <c r="D37" s="120"/>
      <c r="E37" s="120"/>
      <c r="F37" s="90"/>
    </row>
    <row r="38" spans="1:6" ht="15.75" hidden="1">
      <c r="A38" s="20"/>
      <c r="B38" s="24"/>
      <c r="C38" s="120"/>
      <c r="D38" s="120"/>
      <c r="E38" s="120"/>
      <c r="F38" s="90"/>
    </row>
    <row r="39" spans="1:6" s="89" customFormat="1" ht="15.75">
      <c r="A39" s="121" t="s">
        <v>62</v>
      </c>
      <c r="B39" s="122" t="s">
        <v>63</v>
      </c>
      <c r="C39" s="120">
        <f>C31*0.2</f>
        <v>4.7868614780000005</v>
      </c>
      <c r="D39" s="120">
        <f>D31*0.2</f>
        <v>8.219999587999999</v>
      </c>
      <c r="E39" s="120">
        <f>E31*0.2</f>
        <v>14.877463061999999</v>
      </c>
      <c r="F39" s="91">
        <f>SUM(C39:E39)</f>
        <v>27.884324127999996</v>
      </c>
    </row>
    <row r="40" spans="1:6" ht="15.75">
      <c r="A40" s="20" t="s">
        <v>64</v>
      </c>
      <c r="B40" s="22" t="s">
        <v>65</v>
      </c>
      <c r="C40" s="120"/>
      <c r="D40" s="120"/>
      <c r="E40" s="120"/>
      <c r="F40" s="91"/>
    </row>
    <row r="41" spans="1:8" ht="18.75">
      <c r="A41" s="20" t="s">
        <v>66</v>
      </c>
      <c r="B41" s="23" t="s">
        <v>139</v>
      </c>
      <c r="C41" s="120"/>
      <c r="D41" s="120"/>
      <c r="E41" s="120"/>
      <c r="F41" s="90"/>
      <c r="G41" s="92"/>
      <c r="H41" s="93"/>
    </row>
    <row r="42" spans="1:8" ht="18.75">
      <c r="A42" s="20" t="s">
        <v>140</v>
      </c>
      <c r="B42" s="23" t="s">
        <v>141</v>
      </c>
      <c r="C42" s="120"/>
      <c r="D42" s="120"/>
      <c r="E42" s="120"/>
      <c r="F42" s="90"/>
      <c r="G42" s="92"/>
      <c r="H42" s="93"/>
    </row>
    <row r="43" spans="1:6" ht="15.75">
      <c r="A43" s="20" t="s">
        <v>67</v>
      </c>
      <c r="B43" s="21" t="s">
        <v>68</v>
      </c>
      <c r="C43" s="120">
        <f>C44+C45+C46+C47+C48</f>
        <v>0</v>
      </c>
      <c r="D43" s="120">
        <f>D44+D45+D46+D47+D48</f>
        <v>0</v>
      </c>
      <c r="E43" s="120">
        <f>E44+E45+E46+E47+E48</f>
        <v>0</v>
      </c>
      <c r="F43" s="91">
        <f>SUM(C43:E43)</f>
        <v>0</v>
      </c>
    </row>
    <row r="44" spans="1:6" ht="15.75">
      <c r="A44" s="20" t="s">
        <v>69</v>
      </c>
      <c r="B44" s="22" t="s">
        <v>70</v>
      </c>
      <c r="C44" s="120"/>
      <c r="D44" s="120"/>
      <c r="E44" s="120"/>
      <c r="F44" s="90"/>
    </row>
    <row r="45" spans="1:6" ht="15.75">
      <c r="A45" s="20" t="s">
        <v>71</v>
      </c>
      <c r="B45" s="22" t="s">
        <v>72</v>
      </c>
      <c r="C45" s="120"/>
      <c r="D45" s="120"/>
      <c r="E45" s="120"/>
      <c r="F45" s="90"/>
    </row>
    <row r="46" spans="1:6" ht="15.75">
      <c r="A46" s="20" t="s">
        <v>73</v>
      </c>
      <c r="B46" s="22" t="s">
        <v>74</v>
      </c>
      <c r="C46" s="120"/>
      <c r="D46" s="120"/>
      <c r="E46" s="120"/>
      <c r="F46" s="90"/>
    </row>
    <row r="47" spans="1:6" ht="15.75">
      <c r="A47" s="20" t="s">
        <v>75</v>
      </c>
      <c r="B47" s="22" t="s">
        <v>76</v>
      </c>
      <c r="C47" s="120"/>
      <c r="D47" s="120"/>
      <c r="E47" s="120"/>
      <c r="F47" s="90"/>
    </row>
    <row r="48" spans="1:6" ht="15.75">
      <c r="A48" s="20" t="s">
        <v>77</v>
      </c>
      <c r="B48" s="22" t="s">
        <v>142</v>
      </c>
      <c r="C48" s="120"/>
      <c r="D48" s="120"/>
      <c r="E48" s="120"/>
      <c r="F48" s="90"/>
    </row>
    <row r="49" spans="1:6" ht="15.75">
      <c r="A49" s="20" t="s">
        <v>78</v>
      </c>
      <c r="B49" s="23" t="s">
        <v>143</v>
      </c>
      <c r="C49" s="120"/>
      <c r="D49" s="120"/>
      <c r="E49" s="120"/>
      <c r="F49" s="90"/>
    </row>
    <row r="50" spans="1:6" ht="31.5">
      <c r="A50" s="20" t="s">
        <v>79</v>
      </c>
      <c r="B50" s="24" t="s">
        <v>144</v>
      </c>
      <c r="C50" s="120"/>
      <c r="D50" s="120"/>
      <c r="E50" s="120"/>
      <c r="F50" s="90"/>
    </row>
    <row r="51" spans="1:6" ht="31.5">
      <c r="A51" s="20" t="s">
        <v>80</v>
      </c>
      <c r="B51" s="23" t="s">
        <v>145</v>
      </c>
      <c r="C51" s="120"/>
      <c r="D51" s="120"/>
      <c r="E51" s="120"/>
      <c r="F51" s="90"/>
    </row>
    <row r="52" spans="1:6" ht="47.25">
      <c r="A52" s="20" t="s">
        <v>81</v>
      </c>
      <c r="B52" s="24" t="s">
        <v>146</v>
      </c>
      <c r="C52" s="120"/>
      <c r="D52" s="120"/>
      <c r="E52" s="120"/>
      <c r="F52" s="90"/>
    </row>
    <row r="53" spans="1:6" ht="15.75">
      <c r="A53" s="20" t="s">
        <v>82</v>
      </c>
      <c r="B53" s="22" t="s">
        <v>83</v>
      </c>
      <c r="C53" s="120"/>
      <c r="D53" s="120"/>
      <c r="E53" s="120"/>
      <c r="F53" s="90"/>
    </row>
    <row r="54" spans="1:6" ht="15.75">
      <c r="A54" s="20" t="s">
        <v>84</v>
      </c>
      <c r="B54" s="22" t="s">
        <v>85</v>
      </c>
      <c r="C54" s="120"/>
      <c r="D54" s="120"/>
      <c r="E54" s="120"/>
      <c r="F54" s="90"/>
    </row>
    <row r="56" spans="1:43" ht="15.75">
      <c r="A56" s="153"/>
      <c r="B56" s="153"/>
      <c r="C56" s="153"/>
      <c r="D56" s="153"/>
      <c r="E56" s="153"/>
      <c r="F56" s="153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ht="15.75">
      <c r="A57" s="153"/>
      <c r="B57" s="153"/>
      <c r="C57" s="153"/>
      <c r="D57" s="153"/>
      <c r="E57" s="153"/>
      <c r="F57" s="153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1:41" ht="15.75">
      <c r="A58" s="189"/>
      <c r="B58" s="189"/>
      <c r="C58" s="189"/>
      <c r="D58" s="189"/>
      <c r="E58" s="189"/>
      <c r="F58" s="18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5.75">
      <c r="A59" s="189"/>
      <c r="B59" s="189"/>
      <c r="C59" s="189"/>
      <c r="D59" s="189"/>
      <c r="E59" s="189"/>
      <c r="F59" s="18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7" ht="15.75">
      <c r="A60" s="157"/>
      <c r="B60" s="157"/>
      <c r="C60" s="157"/>
      <c r="D60" s="157"/>
      <c r="E60" s="157"/>
      <c r="F60" s="157"/>
      <c r="G60" s="14"/>
    </row>
    <row r="61" spans="1:6" ht="15.75">
      <c r="A61" s="190"/>
      <c r="B61" s="190"/>
      <c r="C61" s="190"/>
      <c r="D61" s="190"/>
      <c r="E61" s="190"/>
      <c r="F61" s="190"/>
    </row>
    <row r="63" spans="3:6" ht="15.75">
      <c r="C63" s="95"/>
      <c r="D63" s="95"/>
      <c r="E63" s="95"/>
      <c r="F63" s="95"/>
    </row>
    <row r="64" spans="3:5" ht="15.75">
      <c r="C64" s="96"/>
      <c r="D64" s="96"/>
      <c r="E64" s="96"/>
    </row>
  </sheetData>
  <sheetProtection/>
  <mergeCells count="17">
    <mergeCell ref="A56:F56"/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rozhkovalg</cp:lastModifiedBy>
  <cp:lastPrinted>2020-04-06T10:36:20Z</cp:lastPrinted>
  <dcterms:created xsi:type="dcterms:W3CDTF">2004-09-19T06:34:55Z</dcterms:created>
  <dcterms:modified xsi:type="dcterms:W3CDTF">2022-04-10T10:27:52Z</dcterms:modified>
  <cp:category/>
  <cp:version/>
  <cp:contentType/>
  <cp:contentStatus/>
</cp:coreProperties>
</file>