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</externalReferences>
  <definedNames>
    <definedName name="_xlnm.Print_Area" localSheetId="0">'прил.1'!$A$1:$AP$34</definedName>
    <definedName name="_xlnm.Print_Area" localSheetId="1">'прил.2'!$A$1:$O$34</definedName>
    <definedName name="_xlnm.Print_Area" localSheetId="2">'прил.3'!$A$1:$U$35</definedName>
    <definedName name="_xlnm.Print_Area" localSheetId="3">'прил.4'!$A$1:$T$40</definedName>
    <definedName name="_xlnm.Print_Area" localSheetId="4">'прил.5'!$A$1:$F$54</definedName>
  </definedNames>
  <calcPr fullCalcOnLoad="1"/>
</workbook>
</file>

<file path=xl/sharedStrings.xml><?xml version="1.0" encoding="utf-8"?>
<sst xmlns="http://schemas.openxmlformats.org/spreadsheetml/2006/main" count="358" uniqueCount="232">
  <si>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</si>
  <si>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</si>
  <si>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</si>
  <si>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</si>
  <si>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</si>
  <si>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</si>
  <si>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</si>
  <si>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</si>
  <si>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</si>
  <si>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</si>
  <si>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</si>
  <si>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</si>
  <si>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</si>
  <si>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</si>
  <si>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</si>
  <si>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</si>
  <si>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</si>
  <si>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</si>
  <si>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</si>
  <si>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</si>
  <si>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</si>
  <si>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</si>
  <si>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</si>
  <si>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</si>
  <si>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</si>
  <si>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</si>
  <si>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</si>
  <si>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</si>
  <si>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</si>
  <si>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</si>
  <si>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</si>
  <si>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</si>
  <si>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</si>
  <si>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</si>
  <si>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</si>
  <si>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</si>
  <si>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</si>
  <si>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</si>
  <si>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</si>
  <si>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</si>
  <si>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</si>
  <si>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</si>
  <si>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</si>
  <si>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</si>
  <si>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</si>
  <si>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</si>
  <si>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</si>
  <si>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</si>
  <si>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</si>
  <si>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</si>
  <si>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</si>
  <si>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</si>
  <si>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</si>
  <si>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</si>
  <si>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</si>
  <si>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</si>
  <si>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</si>
  <si>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</si>
  <si>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</si>
  <si>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</si>
  <si>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</si>
  <si>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</si>
  <si>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</si>
  <si>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</si>
  <si>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</si>
  <si>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</si>
  <si>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</si>
  <si>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</si>
  <si>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</si>
  <si>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</si>
  <si>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</si>
  <si>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</si>
  <si>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</si>
  <si>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</si>
  <si>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</si>
  <si>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</si>
  <si>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</si>
  <si>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</si>
  <si>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</si>
  <si>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</si>
  <si>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</si>
  <si>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</si>
  <si>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</si>
  <si>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</si>
  <si>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</si>
  <si>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</si>
  <si>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</si>
  <si>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</si>
  <si>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</si>
  <si>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</si>
  <si>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</si>
  <si>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</si>
  <si>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</si>
  <si>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</si>
  <si>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</si>
  <si>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</si>
  <si>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</si>
  <si>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</si>
  <si>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</si>
  <si>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</si>
  <si>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</si>
  <si>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</si>
  <si>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</si>
  <si>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</si>
  <si>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</si>
  <si>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</si>
  <si>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</si>
  <si>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</si>
  <si>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</si>
  <si>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</si>
  <si>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</si>
  <si>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2.1.</t>
  </si>
  <si>
    <t>2.2.</t>
  </si>
  <si>
    <t>2.3.</t>
  </si>
  <si>
    <t>3.1.</t>
  </si>
  <si>
    <t>Приложение  № 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</si>
  <si>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</si>
  <si>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</si>
  <si>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</si>
  <si>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</si>
  <si>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</si>
  <si>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</si>
  <si>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</si>
  <si>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</si>
  <si>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</si>
  <si>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</si>
  <si>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</si>
  <si>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</si>
  <si>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</si>
  <si>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</si>
  <si>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</si>
  <si>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</si>
  <si>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</si>
  <si>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</si>
  <si>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</si>
  <si>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</si>
  <si>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</si>
  <si>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</si>
  <si>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</si>
  <si>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4.2.</t>
  </si>
  <si>
    <t>3.</t>
  </si>
  <si>
    <t>Приобретение оргтехники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</si>
  <si>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</si>
  <si>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</si>
  <si>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</si>
  <si>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</si>
  <si>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</si>
  <si>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11</t>
  </si>
  <si>
    <t>11.1</t>
  </si>
  <si>
    <t>11.2</t>
  </si>
  <si>
    <t>11.3</t>
  </si>
  <si>
    <t>11.4</t>
  </si>
  <si>
    <t>11.5</t>
  </si>
  <si>
    <t>12.1</t>
  </si>
  <si>
    <t>12.5</t>
  </si>
  <si>
    <t>13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</si>
  <si>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</si>
  <si>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</si>
  <si>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</si>
  <si>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</si>
  <si>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</si>
  <si>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</si>
  <si>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</si>
  <si>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</si>
  <si>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</si>
  <si>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</si>
  <si>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11.3.1</t>
  </si>
  <si>
    <t>11.3.2</t>
  </si>
  <si>
    <t>14</t>
  </si>
  <si>
    <t>12.3.1</t>
  </si>
  <si>
    <t>12.3.2</t>
  </si>
  <si>
    <t>13.3.1</t>
  </si>
  <si>
    <t>13.3.2</t>
  </si>
  <si>
    <t>14.3.1</t>
  </si>
  <si>
    <t>14.3.2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</si>
  <si>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</si>
  <si>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</si>
  <si>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</si>
  <si>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t xml:space="preserve">План 
на 01.01.2021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</si>
  <si>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</si>
  <si>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</si>
  <si>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План 
на 01.01.2021</t>
  </si>
  <si>
    <t>2023 год</t>
  </si>
  <si>
    <t>1 квартал 
2021 года</t>
  </si>
  <si>
    <t>2 квартал 
2021 года</t>
  </si>
  <si>
    <t>3 квартал 
2021 года</t>
  </si>
  <si>
    <t>4 квартал 
2021 года</t>
  </si>
  <si>
    <t>1 квартал 2021 года</t>
  </si>
  <si>
    <t>2 квартал 2021 года</t>
  </si>
  <si>
    <t>3 квартал 2021 года</t>
  </si>
  <si>
    <t>4 квартал 2021 года</t>
  </si>
  <si>
    <t>1.2.</t>
  </si>
  <si>
    <t>1.3.</t>
  </si>
  <si>
    <t>1.4.</t>
  </si>
  <si>
    <t xml:space="preserve">Охранно-пожарная сигнализация в участке </t>
  </si>
  <si>
    <t>_______                               КУРСКАЯ ОБЛАСТЬ________________________</t>
  </si>
  <si>
    <r>
      <rPr>
        <u val="single"/>
        <sz val="14"/>
        <rFont val="Times New Roman"/>
        <family val="1"/>
      </rPr>
      <t>ОП "КурскАтомЭнергоСбыт" АО "АтомЭнергоСбыт"</t>
    </r>
    <r>
      <rPr>
        <sz val="14"/>
        <rFont val="Times New Roman"/>
        <family val="1"/>
      </rPr>
      <t xml:space="preserve"> </t>
    </r>
  </si>
  <si>
    <t>ОП "КурскАтомЭнергоСбыт" АО "АтомЭнергоСбыт"</t>
  </si>
  <si>
    <t>ИБП APC SRC2KI Smart-UPS RC 2000VA 1600W</t>
  </si>
  <si>
    <t>Ленточная библиотека HPE STOREEVER MSL2024 LTO-7 15000 SAS (P9G69A</t>
  </si>
  <si>
    <t>Система хранения данных (СХД) Lenovo Storage V3700 V2 SFF Control Enclosure (6535C2D)</t>
  </si>
  <si>
    <t>Коммутатор Cisco</t>
  </si>
  <si>
    <t xml:space="preserve">Установка шлагбаумов: г.Курск, ул. Энгельса, д.134 </t>
  </si>
  <si>
    <t>Модернизация системы контроля и управления доступом: г. Курск, ул. Энгельса, д. 134</t>
  </si>
  <si>
    <t>Система видеонаблюдения: г. Курск, ул. Энгельса, д. 134</t>
  </si>
  <si>
    <t>Система хранения данных (СХД) HPE MSA 1050 8Gb Fibre Channel Dual Controller SFF Storage (Q2R19A)</t>
  </si>
  <si>
    <t>Омниканальная платформа (CRM)</t>
  </si>
  <si>
    <t xml:space="preserve">Интеграционная шина </t>
  </si>
  <si>
    <t>2.8.</t>
  </si>
  <si>
    <t>2.9.</t>
  </si>
  <si>
    <t>2.10.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</si>
  <si>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</si>
  <si>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</si>
  <si>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</si>
  <si>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</si>
  <si>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K_L01</t>
  </si>
  <si>
    <t>K_L02</t>
  </si>
  <si>
    <t>K_L03</t>
  </si>
  <si>
    <t>K_L04</t>
  </si>
  <si>
    <t>K_L05</t>
  </si>
  <si>
    <t>K_L07</t>
  </si>
  <si>
    <t>K_L06</t>
  </si>
  <si>
    <t>K_L15</t>
  </si>
  <si>
    <t>K_01</t>
  </si>
  <si>
    <t>K_02</t>
  </si>
  <si>
    <t>K_03</t>
  </si>
  <si>
    <t>K_04</t>
  </si>
  <si>
    <t>K_05</t>
  </si>
  <si>
    <t>K_06</t>
  </si>
  <si>
    <t>K_07</t>
  </si>
  <si>
    <t>K_08</t>
  </si>
  <si>
    <t>K_09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</si>
</sst>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4" fillId="0" borderId="0" xfId="56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5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17" fontId="3" fillId="0" borderId="0" xfId="55" applyNumberFormat="1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4" fontId="7" fillId="0" borderId="18" xfId="55" applyNumberFormat="1" applyFont="1" applyFill="1" applyBorder="1" applyAlignment="1">
      <alignment horizontal="center" vertical="center" wrapText="1"/>
      <protection/>
    </xf>
    <xf numFmtId="3" fontId="66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41" fillId="0" borderId="0" xfId="59" applyFont="1" applyFill="1" applyAlignment="1">
      <alignment vertical="center" wrapText="1"/>
      <protection/>
    </xf>
    <xf numFmtId="0" fontId="67" fillId="0" borderId="0" xfId="53" applyFont="1" applyFill="1" applyAlignment="1">
      <alignment horizontal="justify"/>
      <protection/>
    </xf>
    <xf numFmtId="3" fontId="68" fillId="0" borderId="0" xfId="55" applyNumberFormat="1" applyFont="1" applyFill="1" applyAlignment="1">
      <alignment horizontal="center"/>
      <protection/>
    </xf>
    <xf numFmtId="187" fontId="69" fillId="0" borderId="0" xfId="55" applyNumberFormat="1" applyFont="1" applyFill="1">
      <alignment/>
      <protection/>
    </xf>
    <xf numFmtId="186" fontId="3" fillId="0" borderId="0" xfId="55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top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1" fontId="65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8" xfId="58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5" fillId="0" borderId="10" xfId="68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" fontId="3" fillId="0" borderId="10" xfId="58" applyNumberFormat="1" applyFont="1" applyFill="1" applyBorder="1" applyAlignment="1">
      <alignment horizontal="center" vertical="center" wrapText="1"/>
      <protection/>
    </xf>
    <xf numFmtId="196" fontId="65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90" fontId="6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22" xfId="0" applyFont="1" applyFill="1" applyBorder="1" applyAlignment="1">
      <alignment horizontal="left" vertical="center" wrapText="1" indent="1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24" xfId="58" applyNumberFormat="1" applyFont="1" applyFill="1" applyBorder="1" applyAlignment="1">
      <alignment horizontal="center" vertical="center" wrapText="1"/>
      <protection/>
    </xf>
    <xf numFmtId="2" fontId="7" fillId="0" borderId="24" xfId="58" applyNumberFormat="1" applyFont="1" applyFill="1" applyBorder="1" applyAlignment="1">
      <alignment horizontal="center" vertical="center" wrapText="1"/>
      <protection/>
    </xf>
    <xf numFmtId="14" fontId="7" fillId="0" borderId="24" xfId="58" applyNumberFormat="1" applyFont="1" applyFill="1" applyBorder="1" applyAlignment="1">
      <alignment horizontal="center" vertical="center" wrapText="1"/>
      <protection/>
    </xf>
    <xf numFmtId="198" fontId="65" fillId="0" borderId="0" xfId="0" applyNumberFormat="1" applyFont="1" applyFill="1" applyAlignment="1">
      <alignment horizontal="center"/>
    </xf>
    <xf numFmtId="190" fontId="65" fillId="0" borderId="0" xfId="0" applyNumberFormat="1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 wrapText="1"/>
      <protection/>
    </xf>
    <xf numFmtId="190" fontId="15" fillId="0" borderId="10" xfId="68" applyNumberFormat="1" applyFont="1" applyFill="1" applyBorder="1" applyAlignment="1">
      <alignment horizontal="center" vertical="center" wrapText="1"/>
    </xf>
    <xf numFmtId="190" fontId="7" fillId="0" borderId="24" xfId="58" applyNumberFormat="1" applyFont="1" applyFill="1" applyBorder="1" applyAlignment="1">
      <alignment horizontal="center" vertical="center" wrapText="1"/>
      <protection/>
    </xf>
    <xf numFmtId="190" fontId="3" fillId="0" borderId="18" xfId="58" applyNumberFormat="1" applyFont="1" applyFill="1" applyBorder="1" applyAlignment="1">
      <alignment horizontal="center" vertical="center" wrapText="1"/>
      <protection/>
    </xf>
    <xf numFmtId="190" fontId="7" fillId="0" borderId="18" xfId="58" applyNumberFormat="1" applyFont="1" applyFill="1" applyBorder="1" applyAlignment="1">
      <alignment horizontal="center" vertical="center" wrapText="1"/>
      <protection/>
    </xf>
    <xf numFmtId="190" fontId="7" fillId="0" borderId="25" xfId="58" applyNumberFormat="1" applyFont="1" applyFill="1" applyBorder="1" applyAlignment="1">
      <alignment horizontal="center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0" fontId="3" fillId="0" borderId="18" xfId="0" applyNumberFormat="1" applyFont="1" applyFill="1" applyBorder="1" applyAlignment="1">
      <alignment/>
    </xf>
    <xf numFmtId="190" fontId="3" fillId="0" borderId="18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center" vertical="center"/>
    </xf>
    <xf numFmtId="190" fontId="3" fillId="0" borderId="10" xfId="68" applyNumberFormat="1" applyFont="1" applyFill="1" applyBorder="1" applyAlignment="1">
      <alignment horizontal="center" vertical="center" wrapText="1"/>
    </xf>
    <xf numFmtId="190" fontId="17" fillId="0" borderId="22" xfId="68" applyNumberFormat="1" applyFont="1" applyFill="1" applyBorder="1" applyAlignment="1">
      <alignment horizontal="center" vertical="center" wrapText="1"/>
    </xf>
    <xf numFmtId="190" fontId="17" fillId="0" borderId="23" xfId="68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6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18" xfId="55" applyNumberFormat="1" applyFont="1" applyFill="1" applyBorder="1" applyAlignment="1">
      <alignment horizontal="center" vertical="center" wrapText="1"/>
      <protection/>
    </xf>
    <xf numFmtId="196" fontId="3" fillId="0" borderId="22" xfId="55" applyNumberFormat="1" applyFont="1" applyFill="1" applyBorder="1" applyAlignment="1">
      <alignment horizontal="center" vertical="center" wrapText="1"/>
      <protection/>
    </xf>
    <xf numFmtId="196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0" xfId="58" applyFont="1" applyFill="1" applyAlignment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31" xfId="57" applyFont="1" applyFill="1" applyBorder="1" applyAlignment="1">
      <alignment horizontal="center" vertical="center" wrapText="1"/>
      <protection/>
    </xf>
    <xf numFmtId="0" fontId="3" fillId="0" borderId="32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49" fontId="9" fillId="0" borderId="28" xfId="55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64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7" fillId="0" borderId="0" xfId="53" applyFont="1" applyFill="1" applyAlignment="1">
      <alignment horizontal="center" vertical="center"/>
      <protection/>
    </xf>
    <xf numFmtId="0" fontId="70" fillId="0" borderId="0" xfId="53" applyFont="1" applyFill="1" applyAlignment="1">
      <alignment horizontal="center" vertical="top"/>
      <protection/>
    </xf>
    <xf numFmtId="49" fontId="8" fillId="0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48;&#1055;%202021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2020"/>
      <sheetName val="ИП2021-2023"/>
      <sheetName val="ОС(ОП)"/>
      <sheetName val="ОС(ЦА)"/>
    </sheetNames>
    <sheetDataSet>
      <sheetData sheetId="1">
        <row r="112">
          <cell r="E112">
            <v>96055.33893045865</v>
          </cell>
          <cell r="F112">
            <v>119799.93740570027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C50"/>
  <sheetViews>
    <sheetView tabSelected="1" view="pageBreakPreview" zoomScale="55" zoomScaleNormal="70" zoomScaleSheetLayoutView="55" zoomScalePageLayoutView="0" workbookViewId="0" topLeftCell="A1">
      <selection activeCell="V20" sqref="V20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7.25390625" style="1" customWidth="1"/>
    <col min="4" max="4" width="15.87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1.875" style="1" customWidth="1"/>
    <col min="12" max="12" width="6.125" style="1" customWidth="1"/>
    <col min="13" max="13" width="10.875" style="1" customWidth="1"/>
    <col min="14" max="14" width="13.875" style="1" customWidth="1"/>
    <col min="15" max="15" width="8.00390625" style="29" customWidth="1"/>
    <col min="16" max="17" width="8.75390625" style="29" customWidth="1"/>
    <col min="18" max="18" width="9.375" style="1" customWidth="1"/>
    <col min="19" max="19" width="9.25390625" style="1" customWidth="1"/>
    <col min="20" max="20" width="8.125" style="1" bestFit="1" customWidth="1"/>
    <col min="21" max="21" width="10.875" style="1" customWidth="1"/>
    <col min="22" max="22" width="13.875" style="1" customWidth="1"/>
    <col min="23" max="23" width="9.25390625" style="29" customWidth="1"/>
    <col min="24" max="24" width="10.00390625" style="29" customWidth="1"/>
    <col min="25" max="25" width="9.25390625" style="29" customWidth="1"/>
    <col min="26" max="26" width="7.375" style="1" customWidth="1"/>
    <col min="27" max="27" width="9.875" style="1" customWidth="1"/>
    <col min="28" max="28" width="7.375" style="1" customWidth="1"/>
    <col min="29" max="29" width="10.875" style="1" customWidth="1"/>
    <col min="30" max="30" width="13.875" style="1" customWidth="1"/>
    <col min="31" max="31" width="12.625" style="29" bestFit="1" customWidth="1"/>
    <col min="32" max="33" width="9.25390625" style="29" customWidth="1"/>
    <col min="34" max="34" width="7.375" style="1" customWidth="1"/>
    <col min="35" max="35" width="12.375" style="1" customWidth="1"/>
    <col min="36" max="36" width="8.125" style="1" bestFit="1" customWidth="1"/>
    <col min="37" max="37" width="10.875" style="1" customWidth="1"/>
    <col min="38" max="38" width="13.875" style="1" customWidth="1"/>
    <col min="39" max="39" width="8.75390625" style="29" customWidth="1"/>
    <col min="40" max="40" width="10.00390625" style="29" bestFit="1" customWidth="1"/>
    <col min="41" max="41" width="8.75390625" style="29" customWidth="1"/>
    <col min="42" max="42" width="10.625" style="1" customWidth="1"/>
    <col min="43" max="43" width="39.00390625" style="1" customWidth="1"/>
    <col min="44" max="44" width="10.625" style="1" customWidth="1"/>
    <col min="45" max="49" width="9.125" style="1" customWidth="1"/>
    <col min="50" max="50" width="10.875" style="1" bestFit="1" customWidth="1"/>
    <col min="51" max="16384" width="9.125" style="1" customWidth="1"/>
  </cols>
  <sheetData>
    <row r="1" spans="15:42" ht="18.75">
      <c r="O1" s="1"/>
      <c r="P1" s="1"/>
      <c r="Q1" s="1"/>
      <c r="W1" s="1"/>
      <c r="X1" s="1"/>
      <c r="Y1" s="1"/>
      <c r="AE1" s="1"/>
      <c r="AF1" s="1"/>
      <c r="AG1" s="1"/>
      <c r="AM1" s="1"/>
      <c r="AN1" s="1"/>
      <c r="AO1" s="1"/>
      <c r="AP1" s="2" t="s">
        <v>21</v>
      </c>
    </row>
    <row r="2" spans="15:42" ht="18.75">
      <c r="O2" s="1"/>
      <c r="P2" s="1"/>
      <c r="Q2" s="1"/>
      <c r="W2" s="1"/>
      <c r="X2" s="1"/>
      <c r="Y2" s="1"/>
      <c r="AE2" s="1"/>
      <c r="AF2" s="1"/>
      <c r="AG2" s="1"/>
      <c r="AM2" s="1"/>
      <c r="AN2" s="1"/>
      <c r="AO2" s="1"/>
      <c r="AP2" s="3"/>
    </row>
    <row r="3" spans="1:41" ht="18.75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3"/>
      <c r="AB3" s="13"/>
      <c r="AC3" s="13"/>
      <c r="AD3" s="13"/>
      <c r="AE3" s="13"/>
      <c r="AF3" s="13"/>
      <c r="AG3" s="13"/>
      <c r="AH3" s="13"/>
      <c r="AM3" s="1"/>
      <c r="AN3" s="1"/>
      <c r="AO3" s="1"/>
    </row>
    <row r="4" spans="1:42" ht="18.75">
      <c r="A4" s="220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4"/>
      <c r="AN4" s="4"/>
      <c r="AO4" s="4"/>
      <c r="AP4" s="4"/>
    </row>
    <row r="5" spans="1:42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8.75">
      <c r="A6" s="221" t="s">
        <v>196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111"/>
      <c r="AB6" s="111"/>
      <c r="AC6" s="111"/>
      <c r="AD6" s="111"/>
      <c r="AE6" s="111"/>
      <c r="AF6" s="111"/>
      <c r="AG6" s="111"/>
      <c r="AH6" s="111"/>
      <c r="AI6" s="103"/>
      <c r="AJ6" s="103"/>
      <c r="AK6" s="103"/>
      <c r="AL6" s="103"/>
      <c r="AM6" s="103"/>
      <c r="AN6" s="103"/>
      <c r="AO6" s="103"/>
      <c r="AP6" s="103"/>
    </row>
    <row r="7" spans="1:42" ht="18.75" customHeight="1">
      <c r="A7" s="222" t="s">
        <v>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12"/>
      <c r="AB7" s="112"/>
      <c r="AC7" s="112"/>
      <c r="AD7" s="112"/>
      <c r="AE7" s="112"/>
      <c r="AF7" s="112"/>
      <c r="AG7" s="112"/>
      <c r="AH7" s="112"/>
      <c r="AI7" s="104"/>
      <c r="AJ7" s="104"/>
      <c r="AK7" s="104"/>
      <c r="AL7" s="104"/>
      <c r="AM7" s="104"/>
      <c r="AN7" s="104"/>
      <c r="AO7" s="104"/>
      <c r="AP7" s="104"/>
    </row>
    <row r="8" spans="15:41" ht="16.5" thickBot="1">
      <c r="O8" s="1"/>
      <c r="P8" s="1"/>
      <c r="Q8" s="1"/>
      <c r="W8" s="1"/>
      <c r="X8" s="1"/>
      <c r="Y8" s="1"/>
      <c r="AE8" s="1"/>
      <c r="AF8" s="1"/>
      <c r="AG8" s="1"/>
      <c r="AM8" s="1"/>
      <c r="AN8" s="1"/>
      <c r="AO8" s="1"/>
    </row>
    <row r="9" spans="1:42" ht="64.5" customHeight="1">
      <c r="A9" s="223" t="s">
        <v>3</v>
      </c>
      <c r="B9" s="210" t="s">
        <v>4</v>
      </c>
      <c r="C9" s="210" t="s">
        <v>5</v>
      </c>
      <c r="D9" s="215" t="s">
        <v>6</v>
      </c>
      <c r="E9" s="210" t="s">
        <v>7</v>
      </c>
      <c r="F9" s="210" t="s">
        <v>8</v>
      </c>
      <c r="G9" s="210"/>
      <c r="H9" s="210"/>
      <c r="I9" s="210" t="s">
        <v>9</v>
      </c>
      <c r="J9" s="210" t="s">
        <v>10</v>
      </c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7"/>
    </row>
    <row r="10" spans="1:42" ht="63.75" customHeight="1">
      <c r="A10" s="224"/>
      <c r="B10" s="211"/>
      <c r="C10" s="211"/>
      <c r="D10" s="216"/>
      <c r="E10" s="211"/>
      <c r="F10" s="207" t="s">
        <v>11</v>
      </c>
      <c r="G10" s="208"/>
      <c r="H10" s="213"/>
      <c r="I10" s="211"/>
      <c r="J10" s="211"/>
      <c r="K10" s="207" t="s">
        <v>179</v>
      </c>
      <c r="L10" s="208"/>
      <c r="M10" s="208"/>
      <c r="N10" s="208"/>
      <c r="O10" s="208"/>
      <c r="P10" s="208"/>
      <c r="Q10" s="208"/>
      <c r="R10" s="213"/>
      <c r="S10" s="207" t="s">
        <v>116</v>
      </c>
      <c r="T10" s="208"/>
      <c r="U10" s="208"/>
      <c r="V10" s="208"/>
      <c r="W10" s="208"/>
      <c r="X10" s="208"/>
      <c r="Y10" s="208"/>
      <c r="Z10" s="213"/>
      <c r="AA10" s="207" t="s">
        <v>180</v>
      </c>
      <c r="AB10" s="208"/>
      <c r="AC10" s="208"/>
      <c r="AD10" s="208"/>
      <c r="AE10" s="208"/>
      <c r="AF10" s="208"/>
      <c r="AG10" s="208"/>
      <c r="AH10" s="213"/>
      <c r="AI10" s="207" t="s">
        <v>12</v>
      </c>
      <c r="AJ10" s="208"/>
      <c r="AK10" s="208"/>
      <c r="AL10" s="208"/>
      <c r="AM10" s="208"/>
      <c r="AN10" s="208"/>
      <c r="AO10" s="208"/>
      <c r="AP10" s="209"/>
    </row>
    <row r="11" spans="1:42" ht="203.25" customHeight="1">
      <c r="A11" s="224"/>
      <c r="B11" s="211"/>
      <c r="C11" s="211"/>
      <c r="D11" s="216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178</v>
      </c>
      <c r="K11" s="7" t="s">
        <v>17</v>
      </c>
      <c r="L11" s="7" t="s">
        <v>18</v>
      </c>
      <c r="M11" s="7" t="s">
        <v>19</v>
      </c>
      <c r="N11" s="9" t="s">
        <v>144</v>
      </c>
      <c r="O11" s="9" t="s">
        <v>142</v>
      </c>
      <c r="P11" s="9" t="s">
        <v>143</v>
      </c>
      <c r="Q11" s="9" t="s">
        <v>146</v>
      </c>
      <c r="R11" s="9" t="s">
        <v>20</v>
      </c>
      <c r="S11" s="7" t="s">
        <v>17</v>
      </c>
      <c r="T11" s="7" t="s">
        <v>18</v>
      </c>
      <c r="U11" s="7" t="s">
        <v>19</v>
      </c>
      <c r="V11" s="9" t="s">
        <v>144</v>
      </c>
      <c r="W11" s="9" t="s">
        <v>142</v>
      </c>
      <c r="X11" s="9" t="s">
        <v>143</v>
      </c>
      <c r="Y11" s="9" t="s">
        <v>146</v>
      </c>
      <c r="Z11" s="9" t="s">
        <v>20</v>
      </c>
      <c r="AA11" s="7" t="s">
        <v>17</v>
      </c>
      <c r="AB11" s="7" t="s">
        <v>18</v>
      </c>
      <c r="AC11" s="7" t="s">
        <v>19</v>
      </c>
      <c r="AD11" s="9" t="s">
        <v>144</v>
      </c>
      <c r="AE11" s="9" t="s">
        <v>142</v>
      </c>
      <c r="AF11" s="9" t="s">
        <v>143</v>
      </c>
      <c r="AG11" s="9" t="s">
        <v>146</v>
      </c>
      <c r="AH11" s="9" t="s">
        <v>20</v>
      </c>
      <c r="AI11" s="7" t="s">
        <v>17</v>
      </c>
      <c r="AJ11" s="7" t="s">
        <v>18</v>
      </c>
      <c r="AK11" s="7" t="s">
        <v>19</v>
      </c>
      <c r="AL11" s="9" t="s">
        <v>144</v>
      </c>
      <c r="AM11" s="9" t="s">
        <v>142</v>
      </c>
      <c r="AN11" s="9" t="s">
        <v>143</v>
      </c>
      <c r="AO11" s="9" t="s">
        <v>146</v>
      </c>
      <c r="AP11" s="68" t="s">
        <v>20</v>
      </c>
    </row>
    <row r="12" spans="1:42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0" t="s">
        <v>147</v>
      </c>
      <c r="L12" s="10" t="s">
        <v>148</v>
      </c>
      <c r="M12" s="10" t="s">
        <v>149</v>
      </c>
      <c r="N12" s="10" t="s">
        <v>150</v>
      </c>
      <c r="O12" s="10" t="s">
        <v>166</v>
      </c>
      <c r="P12" s="10" t="s">
        <v>167</v>
      </c>
      <c r="Q12" s="10" t="s">
        <v>151</v>
      </c>
      <c r="R12" s="10" t="s">
        <v>152</v>
      </c>
      <c r="S12" s="10">
        <v>12</v>
      </c>
      <c r="T12" s="10" t="s">
        <v>153</v>
      </c>
      <c r="U12" s="10" t="s">
        <v>85</v>
      </c>
      <c r="V12" s="10" t="s">
        <v>86</v>
      </c>
      <c r="W12" s="10" t="s">
        <v>169</v>
      </c>
      <c r="X12" s="10" t="s">
        <v>170</v>
      </c>
      <c r="Y12" s="10" t="s">
        <v>87</v>
      </c>
      <c r="Z12" s="10" t="s">
        <v>154</v>
      </c>
      <c r="AA12" s="10" t="s">
        <v>155</v>
      </c>
      <c r="AB12" s="10" t="s">
        <v>156</v>
      </c>
      <c r="AC12" s="10" t="s">
        <v>157</v>
      </c>
      <c r="AD12" s="10" t="s">
        <v>158</v>
      </c>
      <c r="AE12" s="10" t="s">
        <v>171</v>
      </c>
      <c r="AF12" s="10" t="s">
        <v>172</v>
      </c>
      <c r="AG12" s="10" t="s">
        <v>159</v>
      </c>
      <c r="AH12" s="10" t="s">
        <v>160</v>
      </c>
      <c r="AI12" s="10" t="s">
        <v>168</v>
      </c>
      <c r="AJ12" s="10" t="s">
        <v>161</v>
      </c>
      <c r="AK12" s="10" t="s">
        <v>162</v>
      </c>
      <c r="AL12" s="10" t="s">
        <v>163</v>
      </c>
      <c r="AM12" s="10" t="s">
        <v>173</v>
      </c>
      <c r="AN12" s="10" t="s">
        <v>174</v>
      </c>
      <c r="AO12" s="10" t="s">
        <v>164</v>
      </c>
      <c r="AP12" s="77" t="s">
        <v>165</v>
      </c>
    </row>
    <row r="13" spans="1:43" s="35" customFormat="1" ht="15.75">
      <c r="A13" s="69" t="s">
        <v>132</v>
      </c>
      <c r="B13" s="43" t="s">
        <v>108</v>
      </c>
      <c r="C13" s="36"/>
      <c r="D13" s="151"/>
      <c r="E13" s="151"/>
      <c r="F13" s="147"/>
      <c r="G13" s="37"/>
      <c r="H13" s="6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52"/>
      <c r="AQ13" s="1"/>
    </row>
    <row r="14" spans="1:55" ht="15.75">
      <c r="A14" s="70" t="s">
        <v>110</v>
      </c>
      <c r="B14" s="38" t="s">
        <v>202</v>
      </c>
      <c r="C14" s="36" t="s">
        <v>215</v>
      </c>
      <c r="D14" s="41">
        <v>2022</v>
      </c>
      <c r="E14" s="41">
        <v>2022</v>
      </c>
      <c r="F14" s="37"/>
      <c r="G14" s="184">
        <v>0.234</v>
      </c>
      <c r="H14" s="61">
        <v>43935</v>
      </c>
      <c r="I14" s="37">
        <f>G14*1.04</f>
        <v>0.24336000000000002</v>
      </c>
      <c r="J14" s="184">
        <f>I14</f>
        <v>0.24336000000000002</v>
      </c>
      <c r="K14" s="184">
        <f>SUM(L14:N14)+R14</f>
        <v>0</v>
      </c>
      <c r="L14" s="184"/>
      <c r="M14" s="184"/>
      <c r="N14" s="184">
        <f>SUM(O14:Q14)</f>
        <v>0</v>
      </c>
      <c r="O14" s="184"/>
      <c r="P14" s="184"/>
      <c r="Q14" s="184"/>
      <c r="R14" s="184"/>
      <c r="S14" s="184">
        <f>SUM(T14:V14)+Z14</f>
        <v>0.24336000000000002</v>
      </c>
      <c r="T14" s="184"/>
      <c r="U14" s="184"/>
      <c r="V14" s="184">
        <f>J14</f>
        <v>0.24336000000000002</v>
      </c>
      <c r="W14" s="184">
        <v>0.2028</v>
      </c>
      <c r="X14" s="184">
        <f>V14-W14-Y14</f>
        <v>0</v>
      </c>
      <c r="Y14" s="184">
        <f>J14/1.2*0.2</f>
        <v>0.04056000000000001</v>
      </c>
      <c r="Z14" s="184"/>
      <c r="AA14" s="184">
        <f>SUM(AB14:AD14)+AH14</f>
        <v>0</v>
      </c>
      <c r="AB14" s="184"/>
      <c r="AC14" s="184"/>
      <c r="AD14" s="184">
        <f>SUM(AE14:AG14)</f>
        <v>0</v>
      </c>
      <c r="AE14" s="184"/>
      <c r="AF14" s="184"/>
      <c r="AG14" s="184"/>
      <c r="AH14" s="184"/>
      <c r="AI14" s="184">
        <f>SUM(AJ14:AL14)+AP14</f>
        <v>0.24336000000000002</v>
      </c>
      <c r="AJ14" s="184"/>
      <c r="AK14" s="184"/>
      <c r="AL14" s="184">
        <f>SUM(AM14:AO14)</f>
        <v>0.24336000000000002</v>
      </c>
      <c r="AM14" s="184">
        <f aca="true" t="shared" si="0" ref="AM14:AO17">O14+W14+AE14</f>
        <v>0.2028</v>
      </c>
      <c r="AN14" s="184">
        <f t="shared" si="0"/>
        <v>0</v>
      </c>
      <c r="AO14" s="184">
        <f t="shared" si="0"/>
        <v>0.04056000000000001</v>
      </c>
      <c r="AP14" s="187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</row>
    <row r="15" spans="1:55" ht="15.75">
      <c r="A15" s="70" t="s">
        <v>191</v>
      </c>
      <c r="B15" s="38" t="s">
        <v>203</v>
      </c>
      <c r="C15" s="36" t="s">
        <v>216</v>
      </c>
      <c r="D15" s="41">
        <v>2022</v>
      </c>
      <c r="E15" s="41">
        <v>2022</v>
      </c>
      <c r="F15" s="37"/>
      <c r="G15" s="184">
        <v>0.288</v>
      </c>
      <c r="H15" s="61">
        <v>43935</v>
      </c>
      <c r="I15" s="37">
        <f>G15*1.04</f>
        <v>0.29952</v>
      </c>
      <c r="J15" s="184">
        <f>I15</f>
        <v>0.29952</v>
      </c>
      <c r="K15" s="184">
        <f>SUM(L15:N15)+R15</f>
        <v>0</v>
      </c>
      <c r="L15" s="184"/>
      <c r="M15" s="184"/>
      <c r="N15" s="184">
        <f>SUM(O15:Q15)</f>
        <v>0</v>
      </c>
      <c r="O15" s="184"/>
      <c r="P15" s="184"/>
      <c r="Q15" s="184"/>
      <c r="R15" s="184"/>
      <c r="S15" s="184">
        <f>SUM(T15:V15)+Z15</f>
        <v>0.29952</v>
      </c>
      <c r="T15" s="184"/>
      <c r="U15" s="184"/>
      <c r="V15" s="184">
        <f>J15</f>
        <v>0.29952</v>
      </c>
      <c r="W15" s="184">
        <v>0.2496</v>
      </c>
      <c r="X15" s="184">
        <f>V15-W15-Y15</f>
        <v>0</v>
      </c>
      <c r="Y15" s="184">
        <f>J15/1.2*0.2</f>
        <v>0.049920000000000006</v>
      </c>
      <c r="Z15" s="184"/>
      <c r="AA15" s="184">
        <f>SUM(AB15:AD15)+AH15</f>
        <v>0</v>
      </c>
      <c r="AB15" s="184"/>
      <c r="AC15" s="184"/>
      <c r="AD15" s="184">
        <f>SUM(AE15:AG15)</f>
        <v>0</v>
      </c>
      <c r="AE15" s="184"/>
      <c r="AF15" s="184"/>
      <c r="AG15" s="184"/>
      <c r="AH15" s="184"/>
      <c r="AI15" s="184">
        <f>SUM(AJ15:AL15)+AP15</f>
        <v>0.29952</v>
      </c>
      <c r="AJ15" s="184"/>
      <c r="AK15" s="184"/>
      <c r="AL15" s="184">
        <f>SUM(AM15:AO15)</f>
        <v>0.29952</v>
      </c>
      <c r="AM15" s="184">
        <f t="shared" si="0"/>
        <v>0.2496</v>
      </c>
      <c r="AN15" s="184">
        <f t="shared" si="0"/>
        <v>0</v>
      </c>
      <c r="AO15" s="184">
        <f t="shared" si="0"/>
        <v>0.049920000000000006</v>
      </c>
      <c r="AP15" s="187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</row>
    <row r="16" spans="1:55" ht="15.75">
      <c r="A16" s="70" t="s">
        <v>192</v>
      </c>
      <c r="B16" s="135" t="s">
        <v>204</v>
      </c>
      <c r="C16" s="36" t="s">
        <v>217</v>
      </c>
      <c r="D16" s="140">
        <v>2023</v>
      </c>
      <c r="E16" s="140">
        <v>2023</v>
      </c>
      <c r="F16" s="138"/>
      <c r="G16" s="184">
        <v>1.188</v>
      </c>
      <c r="H16" s="141">
        <v>43935</v>
      </c>
      <c r="I16" s="37">
        <f>G16*1.04*1.04</f>
        <v>1.2849408</v>
      </c>
      <c r="J16" s="184">
        <f>I16</f>
        <v>1.2849408</v>
      </c>
      <c r="K16" s="184">
        <f>SUM(L16:N16)+R16</f>
        <v>0</v>
      </c>
      <c r="L16" s="184"/>
      <c r="M16" s="184"/>
      <c r="N16" s="184">
        <f>SUM(O16:Q16)</f>
        <v>0</v>
      </c>
      <c r="O16" s="184"/>
      <c r="P16" s="184"/>
      <c r="Q16" s="184"/>
      <c r="R16" s="184"/>
      <c r="S16" s="184">
        <f>SUM(T16:V16)+Z16</f>
        <v>0</v>
      </c>
      <c r="T16" s="184"/>
      <c r="U16" s="184"/>
      <c r="V16" s="184"/>
      <c r="W16" s="184"/>
      <c r="X16" s="184"/>
      <c r="Y16" s="184"/>
      <c r="Z16" s="184"/>
      <c r="AA16" s="184">
        <f>SUM(AB16:AD16)+AH16</f>
        <v>1.2849408</v>
      </c>
      <c r="AB16" s="184"/>
      <c r="AC16" s="184"/>
      <c r="AD16" s="184">
        <f>J16</f>
        <v>1.2849408</v>
      </c>
      <c r="AE16" s="184">
        <v>1.070784</v>
      </c>
      <c r="AF16" s="184">
        <f>AD16-AE16-AG16</f>
        <v>0</v>
      </c>
      <c r="AG16" s="184">
        <f>J16/1.2*0.2</f>
        <v>0.2141568</v>
      </c>
      <c r="AH16" s="184"/>
      <c r="AI16" s="184">
        <f>SUM(AJ16:AL16)+AP16</f>
        <v>1.2849408</v>
      </c>
      <c r="AJ16" s="184"/>
      <c r="AK16" s="184"/>
      <c r="AL16" s="184">
        <f>SUM(AM16:AO16)</f>
        <v>1.2849408</v>
      </c>
      <c r="AM16" s="184">
        <f t="shared" si="0"/>
        <v>1.070784</v>
      </c>
      <c r="AN16" s="184">
        <f t="shared" si="0"/>
        <v>0</v>
      </c>
      <c r="AO16" s="184">
        <f t="shared" si="0"/>
        <v>0.2141568</v>
      </c>
      <c r="AP16" s="187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</row>
    <row r="17" spans="1:55" ht="15.75">
      <c r="A17" s="70" t="s">
        <v>193</v>
      </c>
      <c r="B17" s="135" t="s">
        <v>194</v>
      </c>
      <c r="C17" s="139" t="s">
        <v>218</v>
      </c>
      <c r="D17" s="140">
        <v>2022</v>
      </c>
      <c r="E17" s="140">
        <v>2023</v>
      </c>
      <c r="F17" s="138"/>
      <c r="G17" s="184">
        <f>0.888+0.864+0.864</f>
        <v>2.616</v>
      </c>
      <c r="H17" s="141">
        <v>43935</v>
      </c>
      <c r="I17" s="37">
        <f>(G17-0.888)*1.04+0.888*1.04*1.04</f>
        <v>2.7575808000000004</v>
      </c>
      <c r="J17" s="184">
        <f>I17</f>
        <v>2.7575808000000004</v>
      </c>
      <c r="K17" s="184">
        <f>SUM(L17:N17)+R17</f>
        <v>0</v>
      </c>
      <c r="L17" s="184"/>
      <c r="M17" s="184"/>
      <c r="N17" s="184">
        <f>SUM(O17:Q17)</f>
        <v>0</v>
      </c>
      <c r="O17" s="184"/>
      <c r="P17" s="184"/>
      <c r="Q17" s="184"/>
      <c r="R17" s="184"/>
      <c r="S17" s="184">
        <f>SUM(T17:V17)+Z17</f>
        <v>1.79712</v>
      </c>
      <c r="T17" s="184"/>
      <c r="U17" s="184"/>
      <c r="V17" s="184">
        <f>1.728*1.04</f>
        <v>1.79712</v>
      </c>
      <c r="W17" s="184">
        <v>1.4976</v>
      </c>
      <c r="X17" s="184">
        <f>V17-W17-Y17</f>
        <v>0</v>
      </c>
      <c r="Y17" s="184">
        <f>V17/1.2*0.2</f>
        <v>0.29952</v>
      </c>
      <c r="Z17" s="184"/>
      <c r="AA17" s="184">
        <f>SUM(AB17:AD17)+AH17</f>
        <v>0.9604608</v>
      </c>
      <c r="AB17" s="184"/>
      <c r="AC17" s="184"/>
      <c r="AD17" s="184">
        <f>0.888*1.04*1.04</f>
        <v>0.9604608</v>
      </c>
      <c r="AE17" s="184">
        <v>0.800384</v>
      </c>
      <c r="AF17" s="184">
        <f>AD17-AE17-AG17</f>
        <v>0</v>
      </c>
      <c r="AG17" s="184">
        <f>AD17/1.2*0.2</f>
        <v>0.16007680000000002</v>
      </c>
      <c r="AH17" s="184"/>
      <c r="AI17" s="184">
        <f>SUM(AJ17:AL17)+AP17</f>
        <v>2.7575808</v>
      </c>
      <c r="AJ17" s="184"/>
      <c r="AK17" s="184"/>
      <c r="AL17" s="184">
        <f>SUM(AM17:AO17)</f>
        <v>2.7575808</v>
      </c>
      <c r="AM17" s="184">
        <f t="shared" si="0"/>
        <v>2.297984</v>
      </c>
      <c r="AN17" s="184">
        <f t="shared" si="0"/>
        <v>0</v>
      </c>
      <c r="AO17" s="184">
        <f t="shared" si="0"/>
        <v>0.4595968</v>
      </c>
      <c r="AP17" s="187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</row>
    <row r="18" spans="1:55" ht="15.75">
      <c r="A18" s="71" t="s">
        <v>131</v>
      </c>
      <c r="B18" s="145" t="s">
        <v>109</v>
      </c>
      <c r="C18" s="134"/>
      <c r="D18" s="134"/>
      <c r="E18" s="134"/>
      <c r="F18" s="134"/>
      <c r="G18" s="184"/>
      <c r="H18" s="158"/>
      <c r="I18" s="37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8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</row>
    <row r="19" spans="1:55" ht="15.75">
      <c r="A19" s="70" t="s">
        <v>111</v>
      </c>
      <c r="B19" s="143" t="s">
        <v>201</v>
      </c>
      <c r="C19" s="139" t="s">
        <v>219</v>
      </c>
      <c r="D19" s="41">
        <v>2022</v>
      </c>
      <c r="E19" s="41">
        <v>2022</v>
      </c>
      <c r="F19" s="37"/>
      <c r="G19" s="184">
        <v>7.03084995</v>
      </c>
      <c r="H19" s="61">
        <v>43935</v>
      </c>
      <c r="I19" s="37">
        <f>G19</f>
        <v>7.03084995</v>
      </c>
      <c r="J19" s="184">
        <f aca="true" t="shared" si="1" ref="J19:J28">I19</f>
        <v>7.03084995</v>
      </c>
      <c r="K19" s="184">
        <f aca="true" t="shared" si="2" ref="K19:K24">SUM(L19:N19)+R19</f>
        <v>0</v>
      </c>
      <c r="L19" s="184"/>
      <c r="M19" s="184"/>
      <c r="N19" s="184">
        <f aca="true" t="shared" si="3" ref="N19:N24">SUM(O19:Q19)</f>
        <v>0</v>
      </c>
      <c r="O19" s="184"/>
      <c r="P19" s="184"/>
      <c r="Q19" s="184"/>
      <c r="R19" s="184"/>
      <c r="S19" s="184">
        <f aca="true" t="shared" si="4" ref="S19:S28">SUM(T19:V19)+Z19</f>
        <v>7.03084995</v>
      </c>
      <c r="T19" s="184"/>
      <c r="U19" s="184"/>
      <c r="V19" s="184">
        <f>J19</f>
        <v>7.03084995</v>
      </c>
      <c r="W19" s="184">
        <v>5.859041625</v>
      </c>
      <c r="X19" s="184">
        <f>V19-W19-Y19</f>
        <v>0</v>
      </c>
      <c r="Y19" s="184">
        <f>J19/1.2*0.2</f>
        <v>1.1718083250000002</v>
      </c>
      <c r="Z19" s="184"/>
      <c r="AA19" s="184">
        <f aca="true" t="shared" si="5" ref="AA19:AA28">SUM(AB19:AD19)+AH19</f>
        <v>0</v>
      </c>
      <c r="AB19" s="184"/>
      <c r="AC19" s="184"/>
      <c r="AD19" s="184">
        <f aca="true" t="shared" si="6" ref="AD19:AD24">SUM(AE19:AG19)</f>
        <v>0</v>
      </c>
      <c r="AE19" s="184"/>
      <c r="AF19" s="184"/>
      <c r="AG19" s="184"/>
      <c r="AH19" s="184"/>
      <c r="AI19" s="184">
        <f aca="true" t="shared" si="7" ref="AI19:AI33">SUM(AJ19:AL19)+AP19</f>
        <v>7.03084995</v>
      </c>
      <c r="AJ19" s="184"/>
      <c r="AK19" s="184"/>
      <c r="AL19" s="184">
        <f>SUM(AM19:AO19)</f>
        <v>7.03084995</v>
      </c>
      <c r="AM19" s="184">
        <f aca="true" t="shared" si="8" ref="AM19:AM28">O19+W19+AE19</f>
        <v>5.859041625</v>
      </c>
      <c r="AN19" s="184">
        <f aca="true" t="shared" si="9" ref="AN19:AN28">P19+X19+AF19</f>
        <v>0</v>
      </c>
      <c r="AO19" s="184">
        <f aca="true" t="shared" si="10" ref="AO19:AO28">Q19+Y19+AG19</f>
        <v>1.1718083250000002</v>
      </c>
      <c r="AP19" s="187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</row>
    <row r="20" spans="1:55" ht="15.75">
      <c r="A20" s="70" t="s">
        <v>112</v>
      </c>
      <c r="B20" s="143" t="s">
        <v>141</v>
      </c>
      <c r="C20" s="139" t="s">
        <v>221</v>
      </c>
      <c r="D20" s="41">
        <v>2023</v>
      </c>
      <c r="E20" s="41">
        <v>2023</v>
      </c>
      <c r="F20" s="37"/>
      <c r="G20" s="184">
        <v>16.3957484523754</v>
      </c>
      <c r="H20" s="61">
        <v>43935</v>
      </c>
      <c r="I20" s="37">
        <f>G20</f>
        <v>16.3957484523754</v>
      </c>
      <c r="J20" s="184">
        <f t="shared" si="1"/>
        <v>16.3957484523754</v>
      </c>
      <c r="K20" s="184">
        <f t="shared" si="2"/>
        <v>0</v>
      </c>
      <c r="L20" s="184"/>
      <c r="M20" s="184"/>
      <c r="N20" s="184">
        <f t="shared" si="3"/>
        <v>0</v>
      </c>
      <c r="O20" s="184"/>
      <c r="P20" s="184"/>
      <c r="Q20" s="184"/>
      <c r="R20" s="184"/>
      <c r="S20" s="184">
        <f t="shared" si="4"/>
        <v>0</v>
      </c>
      <c r="T20" s="184"/>
      <c r="U20" s="184"/>
      <c r="V20" s="184">
        <f>SUM(W20:Y20)</f>
        <v>0</v>
      </c>
      <c r="W20" s="184"/>
      <c r="X20" s="184"/>
      <c r="Y20" s="184"/>
      <c r="Z20" s="184"/>
      <c r="AA20" s="184">
        <f t="shared" si="5"/>
        <v>16.3957484523754</v>
      </c>
      <c r="AB20" s="184"/>
      <c r="AC20" s="184"/>
      <c r="AD20" s="184">
        <f>J20</f>
        <v>16.3957484523754</v>
      </c>
      <c r="AE20" s="184">
        <v>13.663123710312833</v>
      </c>
      <c r="AF20" s="184">
        <f>AD20-AE20-AG20</f>
        <v>0</v>
      </c>
      <c r="AG20" s="184">
        <f>J20/1.2*0.2</f>
        <v>2.7326247420625673</v>
      </c>
      <c r="AH20" s="184"/>
      <c r="AI20" s="184">
        <f t="shared" si="7"/>
        <v>16.3957484523754</v>
      </c>
      <c r="AJ20" s="184"/>
      <c r="AK20" s="184"/>
      <c r="AL20" s="184">
        <f aca="true" t="shared" si="11" ref="AL20:AL33">SUM(AM20:AO20)</f>
        <v>16.3957484523754</v>
      </c>
      <c r="AM20" s="184">
        <f t="shared" si="8"/>
        <v>13.663123710312833</v>
      </c>
      <c r="AN20" s="184">
        <f t="shared" si="9"/>
        <v>0</v>
      </c>
      <c r="AO20" s="184">
        <f t="shared" si="10"/>
        <v>2.7326247420625673</v>
      </c>
      <c r="AP20" s="187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</row>
    <row r="21" spans="1:55" ht="15.75">
      <c r="A21" s="70" t="s">
        <v>113</v>
      </c>
      <c r="B21" s="143" t="s">
        <v>200</v>
      </c>
      <c r="C21" s="139" t="s">
        <v>220</v>
      </c>
      <c r="D21" s="41">
        <v>2022</v>
      </c>
      <c r="E21" s="41">
        <v>2022</v>
      </c>
      <c r="F21" s="37"/>
      <c r="G21" s="184">
        <v>7.42334919</v>
      </c>
      <c r="H21" s="61">
        <v>43935</v>
      </c>
      <c r="I21" s="37">
        <f>G21</f>
        <v>7.42334919</v>
      </c>
      <c r="J21" s="184">
        <f t="shared" si="1"/>
        <v>7.42334919</v>
      </c>
      <c r="K21" s="184">
        <f t="shared" si="2"/>
        <v>0</v>
      </c>
      <c r="L21" s="184"/>
      <c r="M21" s="184"/>
      <c r="N21" s="184">
        <f t="shared" si="3"/>
        <v>0</v>
      </c>
      <c r="O21" s="184"/>
      <c r="P21" s="184"/>
      <c r="Q21" s="184"/>
      <c r="R21" s="184"/>
      <c r="S21" s="184">
        <f t="shared" si="4"/>
        <v>7.42334919</v>
      </c>
      <c r="T21" s="184"/>
      <c r="U21" s="184"/>
      <c r="V21" s="184">
        <f>J21</f>
        <v>7.42334919</v>
      </c>
      <c r="W21" s="184">
        <v>6.186124325</v>
      </c>
      <c r="X21" s="184">
        <f>V21-W21-Y21</f>
        <v>0</v>
      </c>
      <c r="Y21" s="184">
        <f>J21/1.2*0.2</f>
        <v>1.237224865</v>
      </c>
      <c r="Z21" s="184"/>
      <c r="AA21" s="184">
        <f t="shared" si="5"/>
        <v>0</v>
      </c>
      <c r="AB21" s="184"/>
      <c r="AC21" s="184"/>
      <c r="AD21" s="184">
        <f t="shared" si="6"/>
        <v>0</v>
      </c>
      <c r="AE21" s="184"/>
      <c r="AF21" s="184"/>
      <c r="AG21" s="184"/>
      <c r="AH21" s="184"/>
      <c r="AI21" s="184">
        <f t="shared" si="7"/>
        <v>7.42334919</v>
      </c>
      <c r="AJ21" s="184"/>
      <c r="AK21" s="184"/>
      <c r="AL21" s="184">
        <f t="shared" si="11"/>
        <v>7.42334919</v>
      </c>
      <c r="AM21" s="184">
        <f t="shared" si="8"/>
        <v>6.186124325</v>
      </c>
      <c r="AN21" s="184">
        <f t="shared" si="9"/>
        <v>0</v>
      </c>
      <c r="AO21" s="184">
        <f t="shared" si="10"/>
        <v>1.237224865</v>
      </c>
      <c r="AP21" s="187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</row>
    <row r="22" spans="1:55" ht="15.75">
      <c r="A22" s="70" t="s">
        <v>133</v>
      </c>
      <c r="B22" s="38" t="s">
        <v>198</v>
      </c>
      <c r="C22" s="139" t="s">
        <v>223</v>
      </c>
      <c r="D22" s="41">
        <v>2022</v>
      </c>
      <c r="E22" s="41">
        <v>2022</v>
      </c>
      <c r="F22" s="37"/>
      <c r="G22" s="184">
        <f>0.9543238189056*0.199</f>
        <v>0.1899104399622144</v>
      </c>
      <c r="H22" s="61">
        <v>43935</v>
      </c>
      <c r="I22" s="37">
        <f>0.9543238189056*0.199</f>
        <v>0.1899104399622144</v>
      </c>
      <c r="J22" s="184">
        <f t="shared" si="1"/>
        <v>0.1899104399622144</v>
      </c>
      <c r="K22" s="184">
        <f t="shared" si="2"/>
        <v>0</v>
      </c>
      <c r="L22" s="184"/>
      <c r="M22" s="184"/>
      <c r="N22" s="184">
        <f t="shared" si="3"/>
        <v>0</v>
      </c>
      <c r="O22" s="184"/>
      <c r="P22" s="184"/>
      <c r="Q22" s="184"/>
      <c r="R22" s="184"/>
      <c r="S22" s="184">
        <f t="shared" si="4"/>
        <v>0.1899104399622144</v>
      </c>
      <c r="T22" s="184"/>
      <c r="U22" s="184"/>
      <c r="V22" s="184">
        <f>J22</f>
        <v>0.1899104399622144</v>
      </c>
      <c r="W22" s="184">
        <v>0.15825869996851205</v>
      </c>
      <c r="X22" s="184">
        <f>V22-W22-Y22</f>
        <v>0</v>
      </c>
      <c r="Y22" s="184">
        <f>J22/1.2*0.2</f>
        <v>0.0316517399937024</v>
      </c>
      <c r="Z22" s="184"/>
      <c r="AA22" s="184">
        <f t="shared" si="5"/>
        <v>0</v>
      </c>
      <c r="AB22" s="184"/>
      <c r="AC22" s="184"/>
      <c r="AD22" s="184">
        <f t="shared" si="6"/>
        <v>0</v>
      </c>
      <c r="AE22" s="184"/>
      <c r="AF22" s="184"/>
      <c r="AG22" s="184"/>
      <c r="AH22" s="184"/>
      <c r="AI22" s="184">
        <f t="shared" si="7"/>
        <v>0.18991043996221446</v>
      </c>
      <c r="AJ22" s="184"/>
      <c r="AK22" s="184"/>
      <c r="AL22" s="184">
        <f t="shared" si="11"/>
        <v>0.18991043996221446</v>
      </c>
      <c r="AM22" s="184">
        <f t="shared" si="8"/>
        <v>0.15825869996851205</v>
      </c>
      <c r="AN22" s="184">
        <f t="shared" si="9"/>
        <v>0</v>
      </c>
      <c r="AO22" s="184">
        <f t="shared" si="10"/>
        <v>0.0316517399937024</v>
      </c>
      <c r="AP22" s="187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</row>
    <row r="23" spans="1:55" ht="15.75">
      <c r="A23" s="70" t="s">
        <v>134</v>
      </c>
      <c r="B23" s="38" t="s">
        <v>199</v>
      </c>
      <c r="C23" s="139" t="s">
        <v>224</v>
      </c>
      <c r="D23" s="41">
        <v>2022</v>
      </c>
      <c r="E23" s="41">
        <v>2022</v>
      </c>
      <c r="F23" s="37"/>
      <c r="G23" s="184">
        <f>1.7500967071744*0.199</f>
        <v>0.3482692447277056</v>
      </c>
      <c r="H23" s="61">
        <v>43935</v>
      </c>
      <c r="I23" s="37">
        <f>1.7500967071744*0.199</f>
        <v>0.3482692447277056</v>
      </c>
      <c r="J23" s="184">
        <f t="shared" si="1"/>
        <v>0.3482692447277056</v>
      </c>
      <c r="K23" s="184">
        <f>SUM(L23:N23)+R23</f>
        <v>0</v>
      </c>
      <c r="L23" s="184"/>
      <c r="M23" s="184"/>
      <c r="N23" s="184">
        <f>SUM(O23:Q23)</f>
        <v>0</v>
      </c>
      <c r="O23" s="184"/>
      <c r="P23" s="184"/>
      <c r="Q23" s="184"/>
      <c r="R23" s="184"/>
      <c r="S23" s="184">
        <f t="shared" si="4"/>
        <v>0.3482692447277056</v>
      </c>
      <c r="T23" s="184"/>
      <c r="U23" s="184"/>
      <c r="V23" s="184">
        <f>J23</f>
        <v>0.3482692447277056</v>
      </c>
      <c r="W23" s="184">
        <v>0.29022437060642137</v>
      </c>
      <c r="X23" s="184">
        <f>V23-W23-Y23</f>
        <v>0</v>
      </c>
      <c r="Y23" s="184">
        <f>J23/1.2*0.2</f>
        <v>0.05804487412128428</v>
      </c>
      <c r="Z23" s="184"/>
      <c r="AA23" s="184">
        <f t="shared" si="5"/>
        <v>0</v>
      </c>
      <c r="AB23" s="184"/>
      <c r="AC23" s="184"/>
      <c r="AD23" s="184">
        <f>SUM(AE23:AG23)</f>
        <v>0</v>
      </c>
      <c r="AE23" s="184"/>
      <c r="AF23" s="184"/>
      <c r="AG23" s="184"/>
      <c r="AH23" s="184"/>
      <c r="AI23" s="184">
        <f>SUM(AJ23:AL23)+AP23</f>
        <v>0.34826924472770565</v>
      </c>
      <c r="AJ23" s="184"/>
      <c r="AK23" s="184"/>
      <c r="AL23" s="184">
        <f>SUM(AM23:AO23)</f>
        <v>0.34826924472770565</v>
      </c>
      <c r="AM23" s="184">
        <f t="shared" si="8"/>
        <v>0.29022437060642137</v>
      </c>
      <c r="AN23" s="184">
        <f t="shared" si="9"/>
        <v>0</v>
      </c>
      <c r="AO23" s="184">
        <f t="shared" si="10"/>
        <v>0.05804487412128428</v>
      </c>
      <c r="AP23" s="187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</row>
    <row r="24" spans="1:55" ht="31.5">
      <c r="A24" s="70" t="s">
        <v>135</v>
      </c>
      <c r="B24" s="38" t="s">
        <v>205</v>
      </c>
      <c r="C24" s="139" t="s">
        <v>225</v>
      </c>
      <c r="D24" s="41">
        <v>2022</v>
      </c>
      <c r="E24" s="41">
        <v>2022</v>
      </c>
      <c r="F24" s="37"/>
      <c r="G24" s="184">
        <f>6.0076448546816*0.199</f>
        <v>1.1955213260816384</v>
      </c>
      <c r="H24" s="61">
        <v>43935</v>
      </c>
      <c r="I24" s="37">
        <f>6.0076448546816*0.199</f>
        <v>1.1955213260816384</v>
      </c>
      <c r="J24" s="184">
        <f t="shared" si="1"/>
        <v>1.1955213260816384</v>
      </c>
      <c r="K24" s="184">
        <f t="shared" si="2"/>
        <v>0</v>
      </c>
      <c r="L24" s="184"/>
      <c r="M24" s="184"/>
      <c r="N24" s="184">
        <f t="shared" si="3"/>
        <v>0</v>
      </c>
      <c r="O24" s="184"/>
      <c r="P24" s="184"/>
      <c r="Q24" s="184"/>
      <c r="R24" s="184"/>
      <c r="S24" s="184">
        <f t="shared" si="4"/>
        <v>1.1955213260816384</v>
      </c>
      <c r="T24" s="184"/>
      <c r="U24" s="184"/>
      <c r="V24" s="184">
        <f>J24</f>
        <v>1.1955213260816384</v>
      </c>
      <c r="W24" s="184">
        <v>0.9962677717346988</v>
      </c>
      <c r="X24" s="184">
        <f>V24-W24-Y24</f>
        <v>0</v>
      </c>
      <c r="Y24" s="184">
        <f>J24/1.2*0.2</f>
        <v>0.19925355434693975</v>
      </c>
      <c r="Z24" s="184"/>
      <c r="AA24" s="184">
        <f t="shared" si="5"/>
        <v>0</v>
      </c>
      <c r="AB24" s="184"/>
      <c r="AC24" s="184"/>
      <c r="AD24" s="184">
        <f t="shared" si="6"/>
        <v>0</v>
      </c>
      <c r="AE24" s="184"/>
      <c r="AF24" s="184"/>
      <c r="AG24" s="184"/>
      <c r="AH24" s="184"/>
      <c r="AI24" s="184">
        <f t="shared" si="7"/>
        <v>1.1955213260816386</v>
      </c>
      <c r="AJ24" s="184"/>
      <c r="AK24" s="184"/>
      <c r="AL24" s="184">
        <f t="shared" si="11"/>
        <v>1.1955213260816386</v>
      </c>
      <c r="AM24" s="184">
        <f t="shared" si="8"/>
        <v>0.9962677717346988</v>
      </c>
      <c r="AN24" s="184">
        <f t="shared" si="9"/>
        <v>0</v>
      </c>
      <c r="AO24" s="184">
        <f t="shared" si="10"/>
        <v>0.19925355434693975</v>
      </c>
      <c r="AP24" s="187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</row>
    <row r="25" spans="1:55" ht="15.75">
      <c r="A25" s="70" t="s">
        <v>136</v>
      </c>
      <c r="B25" s="38" t="s">
        <v>211</v>
      </c>
      <c r="C25" s="139" t="s">
        <v>226</v>
      </c>
      <c r="D25" s="41">
        <v>2023</v>
      </c>
      <c r="E25" s="41">
        <v>2023</v>
      </c>
      <c r="F25" s="37"/>
      <c r="G25" s="184">
        <f>2.94309760244065*0.199</f>
        <v>0.5856764228856894</v>
      </c>
      <c r="H25" s="61">
        <v>43935</v>
      </c>
      <c r="I25" s="37">
        <f>2.94309760244065*0.199</f>
        <v>0.5856764228856894</v>
      </c>
      <c r="J25" s="184">
        <f t="shared" si="1"/>
        <v>0.5856764228856894</v>
      </c>
      <c r="K25" s="184">
        <f>SUM(L25:N25)+R25</f>
        <v>0</v>
      </c>
      <c r="L25" s="184"/>
      <c r="M25" s="184"/>
      <c r="N25" s="184">
        <f>SUM(O25:Q25)</f>
        <v>0</v>
      </c>
      <c r="O25" s="184"/>
      <c r="P25" s="184"/>
      <c r="Q25" s="184"/>
      <c r="R25" s="184"/>
      <c r="S25" s="184">
        <f t="shared" si="4"/>
        <v>0</v>
      </c>
      <c r="T25" s="184"/>
      <c r="U25" s="184"/>
      <c r="V25" s="184">
        <f>SUM(W25:Y25)</f>
        <v>0</v>
      </c>
      <c r="W25" s="184"/>
      <c r="X25" s="184"/>
      <c r="Y25" s="184"/>
      <c r="Z25" s="184"/>
      <c r="AA25" s="184">
        <f t="shared" si="5"/>
        <v>0.5856764228856894</v>
      </c>
      <c r="AB25" s="184"/>
      <c r="AC25" s="184"/>
      <c r="AD25" s="184">
        <f>J25</f>
        <v>0.5856764228856894</v>
      </c>
      <c r="AE25" s="184">
        <v>0.4880636857380745</v>
      </c>
      <c r="AF25" s="184">
        <f>AD25-AE25-AG25</f>
        <v>0</v>
      </c>
      <c r="AG25" s="184">
        <f>J25/1.2*0.2</f>
        <v>0.09761273714761493</v>
      </c>
      <c r="AH25" s="184"/>
      <c r="AI25" s="184">
        <f>SUM(AJ25:AL25)+AP25</f>
        <v>0.5856764228856894</v>
      </c>
      <c r="AJ25" s="184"/>
      <c r="AK25" s="184"/>
      <c r="AL25" s="184">
        <f>SUM(AM25:AO25)</f>
        <v>0.5856764228856894</v>
      </c>
      <c r="AM25" s="184">
        <f t="shared" si="8"/>
        <v>0.4880636857380745</v>
      </c>
      <c r="AN25" s="184">
        <f t="shared" si="9"/>
        <v>0</v>
      </c>
      <c r="AO25" s="184">
        <f t="shared" si="10"/>
        <v>0.09761273714761493</v>
      </c>
      <c r="AP25" s="187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</row>
    <row r="26" spans="1:55" ht="15.75">
      <c r="A26" s="70" t="s">
        <v>208</v>
      </c>
      <c r="B26" s="38" t="s">
        <v>212</v>
      </c>
      <c r="C26" s="139" t="s">
        <v>227</v>
      </c>
      <c r="D26" s="41">
        <v>2023</v>
      </c>
      <c r="E26" s="41">
        <v>2023</v>
      </c>
      <c r="F26" s="37"/>
      <c r="G26" s="184">
        <f>1.84650867982705*0.199</f>
        <v>0.367455227285583</v>
      </c>
      <c r="H26" s="61">
        <v>43935</v>
      </c>
      <c r="I26" s="37">
        <f>1.84650867982705*0.199</f>
        <v>0.367455227285583</v>
      </c>
      <c r="J26" s="184">
        <f t="shared" si="1"/>
        <v>0.367455227285583</v>
      </c>
      <c r="K26" s="184">
        <f>SUM(L26:N26)+R26</f>
        <v>0</v>
      </c>
      <c r="L26" s="184"/>
      <c r="M26" s="184"/>
      <c r="N26" s="184">
        <f>SUM(O26:Q26)</f>
        <v>0</v>
      </c>
      <c r="O26" s="184"/>
      <c r="P26" s="184"/>
      <c r="Q26" s="184"/>
      <c r="R26" s="184"/>
      <c r="S26" s="184">
        <f t="shared" si="4"/>
        <v>0</v>
      </c>
      <c r="T26" s="184"/>
      <c r="U26" s="184"/>
      <c r="V26" s="184">
        <f>SUM(W26:Y26)</f>
        <v>0</v>
      </c>
      <c r="W26" s="184"/>
      <c r="X26" s="184"/>
      <c r="Y26" s="184"/>
      <c r="Z26" s="184"/>
      <c r="AA26" s="184">
        <f t="shared" si="5"/>
        <v>0.367455227285583</v>
      </c>
      <c r="AB26" s="184"/>
      <c r="AC26" s="184"/>
      <c r="AD26" s="184">
        <f>J26</f>
        <v>0.367455227285583</v>
      </c>
      <c r="AE26" s="184">
        <v>0.3062126894046525</v>
      </c>
      <c r="AF26" s="184">
        <f>AD26-AE26-AG26</f>
        <v>0</v>
      </c>
      <c r="AG26" s="184">
        <f>J26/1.2*0.2</f>
        <v>0.06124253788093051</v>
      </c>
      <c r="AH26" s="184"/>
      <c r="AI26" s="184">
        <f>SUM(AJ26:AL26)+AP26</f>
        <v>0.367455227285583</v>
      </c>
      <c r="AJ26" s="184"/>
      <c r="AK26" s="184"/>
      <c r="AL26" s="184">
        <f>SUM(AM26:AO26)</f>
        <v>0.367455227285583</v>
      </c>
      <c r="AM26" s="184">
        <f t="shared" si="8"/>
        <v>0.3062126894046525</v>
      </c>
      <c r="AN26" s="184">
        <f t="shared" si="9"/>
        <v>0</v>
      </c>
      <c r="AO26" s="184">
        <f t="shared" si="10"/>
        <v>0.06124253788093051</v>
      </c>
      <c r="AP26" s="187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</row>
    <row r="27" spans="1:55" ht="15.75">
      <c r="A27" s="70" t="s">
        <v>209</v>
      </c>
      <c r="B27" s="38" t="s">
        <v>213</v>
      </c>
      <c r="C27" s="139" t="s">
        <v>228</v>
      </c>
      <c r="D27" s="41">
        <v>2023</v>
      </c>
      <c r="E27" s="41">
        <v>2023</v>
      </c>
      <c r="F27" s="37"/>
      <c r="G27" s="184">
        <f>9.97669985528375*0.199</f>
        <v>1.9853632712014662</v>
      </c>
      <c r="H27" s="61">
        <v>43935</v>
      </c>
      <c r="I27" s="37">
        <f>9.97669985528375*0.199</f>
        <v>1.9853632712014662</v>
      </c>
      <c r="J27" s="184">
        <f t="shared" si="1"/>
        <v>1.9853632712014662</v>
      </c>
      <c r="K27" s="184">
        <f>SUM(L27:N27)+R27</f>
        <v>0</v>
      </c>
      <c r="L27" s="184"/>
      <c r="M27" s="184"/>
      <c r="N27" s="184">
        <f>SUM(O27:Q27)</f>
        <v>0</v>
      </c>
      <c r="O27" s="184"/>
      <c r="P27" s="184"/>
      <c r="Q27" s="184"/>
      <c r="R27" s="184"/>
      <c r="S27" s="184">
        <f t="shared" si="4"/>
        <v>0</v>
      </c>
      <c r="T27" s="184"/>
      <c r="U27" s="184"/>
      <c r="V27" s="184">
        <f>SUM(W27:Y27)</f>
        <v>0</v>
      </c>
      <c r="W27" s="184"/>
      <c r="X27" s="184"/>
      <c r="Y27" s="184"/>
      <c r="Z27" s="184"/>
      <c r="AA27" s="184">
        <f t="shared" si="5"/>
        <v>1.9853632712014662</v>
      </c>
      <c r="AB27" s="184"/>
      <c r="AC27" s="184"/>
      <c r="AD27" s="184">
        <f>J27</f>
        <v>1.9853632712014662</v>
      </c>
      <c r="AE27" s="184">
        <v>1.6544693926678884</v>
      </c>
      <c r="AF27" s="184">
        <f>AD27-AE27-AG27</f>
        <v>0</v>
      </c>
      <c r="AG27" s="184">
        <f>J27/1.2*0.2</f>
        <v>0.33089387853357777</v>
      </c>
      <c r="AH27" s="184"/>
      <c r="AI27" s="184">
        <f>SUM(AJ27:AL27)+AP27</f>
        <v>1.9853632712014662</v>
      </c>
      <c r="AJ27" s="184"/>
      <c r="AK27" s="184"/>
      <c r="AL27" s="184">
        <f>SUM(AM27:AO27)</f>
        <v>1.9853632712014662</v>
      </c>
      <c r="AM27" s="184">
        <f t="shared" si="8"/>
        <v>1.6544693926678884</v>
      </c>
      <c r="AN27" s="184">
        <f t="shared" si="9"/>
        <v>0</v>
      </c>
      <c r="AO27" s="184">
        <f t="shared" si="10"/>
        <v>0.33089387853357777</v>
      </c>
      <c r="AP27" s="187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</row>
    <row r="28" spans="1:55" ht="15.75">
      <c r="A28" s="70" t="s">
        <v>210</v>
      </c>
      <c r="B28" s="38" t="s">
        <v>214</v>
      </c>
      <c r="C28" s="139" t="s">
        <v>229</v>
      </c>
      <c r="D28" s="41">
        <v>2023</v>
      </c>
      <c r="E28" s="41">
        <v>2023</v>
      </c>
      <c r="F28" s="37"/>
      <c r="G28" s="184">
        <f>12.0553072980877*0.199</f>
        <v>2.399006152319452</v>
      </c>
      <c r="H28" s="61">
        <v>43935</v>
      </c>
      <c r="I28" s="37">
        <f>12.0553072980877*0.199</f>
        <v>2.399006152319452</v>
      </c>
      <c r="J28" s="184">
        <f t="shared" si="1"/>
        <v>2.399006152319452</v>
      </c>
      <c r="K28" s="184">
        <f>SUM(L28:N28)+R28</f>
        <v>0</v>
      </c>
      <c r="L28" s="184"/>
      <c r="M28" s="184"/>
      <c r="N28" s="184">
        <f>SUM(O28:Q28)</f>
        <v>0</v>
      </c>
      <c r="O28" s="184"/>
      <c r="P28" s="184"/>
      <c r="Q28" s="184"/>
      <c r="R28" s="184"/>
      <c r="S28" s="184">
        <f t="shared" si="4"/>
        <v>0</v>
      </c>
      <c r="T28" s="184"/>
      <c r="U28" s="184"/>
      <c r="V28" s="184">
        <f>SUM(W28:Y28)</f>
        <v>0</v>
      </c>
      <c r="W28" s="184"/>
      <c r="X28" s="184"/>
      <c r="Y28" s="184"/>
      <c r="Z28" s="184"/>
      <c r="AA28" s="184">
        <f t="shared" si="5"/>
        <v>2.399006152319452</v>
      </c>
      <c r="AB28" s="184"/>
      <c r="AC28" s="184"/>
      <c r="AD28" s="184">
        <f>J28</f>
        <v>2.399006152319452</v>
      </c>
      <c r="AE28" s="184">
        <v>1.999171793599544</v>
      </c>
      <c r="AF28" s="184">
        <f>AD28-AE28-AG28</f>
        <v>-4.440892098500626E-16</v>
      </c>
      <c r="AG28" s="184">
        <f>J28/1.2*0.2</f>
        <v>0.3998343587199087</v>
      </c>
      <c r="AH28" s="184"/>
      <c r="AI28" s="184">
        <f>SUM(AJ28:AL28)+AP28</f>
        <v>2.399006152319452</v>
      </c>
      <c r="AJ28" s="184"/>
      <c r="AK28" s="184"/>
      <c r="AL28" s="184">
        <f>SUM(AM28:AO28)</f>
        <v>2.399006152319452</v>
      </c>
      <c r="AM28" s="184">
        <f t="shared" si="8"/>
        <v>1.999171793599544</v>
      </c>
      <c r="AN28" s="184">
        <f t="shared" si="9"/>
        <v>-4.440892098500626E-16</v>
      </c>
      <c r="AO28" s="184">
        <f t="shared" si="10"/>
        <v>0.3998343587199087</v>
      </c>
      <c r="AP28" s="187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</row>
    <row r="29" spans="1:55" s="35" customFormat="1" ht="18.75">
      <c r="A29" s="69" t="s">
        <v>140</v>
      </c>
      <c r="B29" s="149" t="s">
        <v>130</v>
      </c>
      <c r="C29" s="150"/>
      <c r="D29" s="151"/>
      <c r="E29" s="151"/>
      <c r="F29" s="147"/>
      <c r="G29" s="184"/>
      <c r="H29" s="61"/>
      <c r="I29" s="37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8"/>
      <c r="AQ29" s="1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</row>
    <row r="30" spans="1:55" s="35" customFormat="1" ht="15.75">
      <c r="A30" s="70" t="s">
        <v>114</v>
      </c>
      <c r="B30" s="143" t="s">
        <v>118</v>
      </c>
      <c r="C30" s="139" t="s">
        <v>222</v>
      </c>
      <c r="D30" s="41">
        <v>2021</v>
      </c>
      <c r="E30" s="41">
        <v>2023</v>
      </c>
      <c r="F30" s="147"/>
      <c r="G30" s="184">
        <v>1255.58279456667</v>
      </c>
      <c r="H30" s="61">
        <v>43935</v>
      </c>
      <c r="I30" s="37">
        <v>1336.43903795</v>
      </c>
      <c r="J30" s="184">
        <f>I30</f>
        <v>1336.43903795</v>
      </c>
      <c r="K30" s="184">
        <f>N30</f>
        <v>609.09188032</v>
      </c>
      <c r="L30" s="184"/>
      <c r="M30" s="184"/>
      <c r="N30" s="184">
        <f>609.09188032</f>
        <v>609.09188032</v>
      </c>
      <c r="O30" s="184">
        <v>54.1240683004586</v>
      </c>
      <c r="P30" s="184">
        <f>N30-O30-Q30</f>
        <v>453.4524986328747</v>
      </c>
      <c r="Q30" s="184">
        <f>N30/1.2*0.2</f>
        <v>101.51531338666666</v>
      </c>
      <c r="R30" s="184"/>
      <c r="S30" s="184">
        <f>V30</f>
        <v>553.59241415</v>
      </c>
      <c r="T30" s="184"/>
      <c r="U30" s="184"/>
      <c r="V30" s="184">
        <v>553.59241415</v>
      </c>
      <c r="W30" s="184">
        <f>'[1]ИП2021-2023'!$E$112/1000-W14-W15-W17-W19-W21</f>
        <v>82.06017298045865</v>
      </c>
      <c r="X30" s="184">
        <f>V30-W30-Y30</f>
        <v>379.26683881120795</v>
      </c>
      <c r="Y30" s="184">
        <f>V30/1.2*0.2</f>
        <v>92.26540235833335</v>
      </c>
      <c r="Z30" s="184"/>
      <c r="AA30" s="184">
        <f>AD30</f>
        <v>173.75474348</v>
      </c>
      <c r="AB30" s="184"/>
      <c r="AC30" s="184"/>
      <c r="AD30" s="184">
        <v>173.75474348</v>
      </c>
      <c r="AE30" s="184">
        <f>'[1]ИП2021-2023'!$F$112/1000-AE16-AE17-AE20</f>
        <v>104.26564569538745</v>
      </c>
      <c r="AF30" s="184">
        <f>AD30-AE30-AG30</f>
        <v>40.52997387127921</v>
      </c>
      <c r="AG30" s="184">
        <f>AD30/1.2*0.2</f>
        <v>28.95912391333334</v>
      </c>
      <c r="AH30" s="184"/>
      <c r="AI30" s="184">
        <f t="shared" si="7"/>
        <v>1336.4390379499998</v>
      </c>
      <c r="AJ30" s="184"/>
      <c r="AK30" s="184"/>
      <c r="AL30" s="184">
        <f t="shared" si="11"/>
        <v>1336.4390379499998</v>
      </c>
      <c r="AM30" s="184">
        <f>O30+W30+AE30</f>
        <v>240.4498869763047</v>
      </c>
      <c r="AN30" s="184">
        <f>P30+X30+AF30</f>
        <v>873.2493113153619</v>
      </c>
      <c r="AO30" s="184">
        <f>Q30+Y30+AG30</f>
        <v>222.73983965833335</v>
      </c>
      <c r="AP30" s="187"/>
      <c r="AQ30" s="1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</row>
    <row r="31" spans="1:55" s="35" customFormat="1" ht="18.75">
      <c r="A31" s="69" t="s">
        <v>137</v>
      </c>
      <c r="B31" s="157" t="s">
        <v>129</v>
      </c>
      <c r="C31" s="36"/>
      <c r="D31" s="41"/>
      <c r="E31" s="41"/>
      <c r="F31" s="147"/>
      <c r="G31" s="184"/>
      <c r="H31" s="61"/>
      <c r="I31" s="37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8"/>
      <c r="AQ31" s="1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</row>
    <row r="32" spans="1:55" ht="15.75">
      <c r="A32" s="70" t="s">
        <v>138</v>
      </c>
      <c r="B32" s="38" t="s">
        <v>206</v>
      </c>
      <c r="C32" s="139" t="s">
        <v>230</v>
      </c>
      <c r="D32" s="41">
        <v>2021</v>
      </c>
      <c r="E32" s="41">
        <v>2022</v>
      </c>
      <c r="F32" s="37"/>
      <c r="G32" s="184">
        <f>(21.978333+21.978333)*0.199</f>
        <v>8.747376534</v>
      </c>
      <c r="H32" s="61">
        <v>43935</v>
      </c>
      <c r="I32" s="37">
        <f>(21.978333+21.978333)*0.199</f>
        <v>8.747376534</v>
      </c>
      <c r="J32" s="184">
        <f>I32</f>
        <v>8.747376534</v>
      </c>
      <c r="K32" s="184">
        <f>SUM(L32:N32)+R32</f>
        <v>4.373688267</v>
      </c>
      <c r="L32" s="184"/>
      <c r="M32" s="184"/>
      <c r="N32" s="184">
        <f>21.978333*0.199</f>
        <v>4.373688267</v>
      </c>
      <c r="O32" s="184">
        <v>3.6447402225000003</v>
      </c>
      <c r="P32" s="184">
        <f>N32-O32-Q32</f>
        <v>0</v>
      </c>
      <c r="Q32" s="184">
        <f>N32/1.2*0.2</f>
        <v>0.7289480445000001</v>
      </c>
      <c r="R32" s="184"/>
      <c r="S32" s="184">
        <f>SUM(T32:V32)+Z32</f>
        <v>4.373688267</v>
      </c>
      <c r="T32" s="184"/>
      <c r="U32" s="184"/>
      <c r="V32" s="184">
        <f>21.978333*0.199</f>
        <v>4.373688267</v>
      </c>
      <c r="W32" s="184">
        <v>3.6447402225000003</v>
      </c>
      <c r="X32" s="184">
        <f>V32-W32-Y32</f>
        <v>0</v>
      </c>
      <c r="Y32" s="184">
        <f>V32/1.2*0.2</f>
        <v>0.7289480445000001</v>
      </c>
      <c r="Z32" s="184"/>
      <c r="AA32" s="184">
        <f>SUM(AB32:AD32)+AH32</f>
        <v>0</v>
      </c>
      <c r="AB32" s="184"/>
      <c r="AC32" s="184"/>
      <c r="AD32" s="184"/>
      <c r="AE32" s="184"/>
      <c r="AF32" s="184"/>
      <c r="AG32" s="184"/>
      <c r="AH32" s="184"/>
      <c r="AI32" s="184">
        <f t="shared" si="7"/>
        <v>8.747376534</v>
      </c>
      <c r="AJ32" s="184"/>
      <c r="AK32" s="184"/>
      <c r="AL32" s="184">
        <f t="shared" si="11"/>
        <v>8.747376534</v>
      </c>
      <c r="AM32" s="184">
        <f aca="true" t="shared" si="12" ref="AM32:AO33">O32+W32+AE32</f>
        <v>7.289480445000001</v>
      </c>
      <c r="AN32" s="184">
        <f t="shared" si="12"/>
        <v>0</v>
      </c>
      <c r="AO32" s="184">
        <f t="shared" si="12"/>
        <v>1.4578960890000001</v>
      </c>
      <c r="AP32" s="187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</row>
    <row r="33" spans="1:55" ht="17.25" thickBot="1">
      <c r="A33" s="70" t="s">
        <v>139</v>
      </c>
      <c r="B33" s="38" t="s">
        <v>207</v>
      </c>
      <c r="C33" s="139" t="s">
        <v>231</v>
      </c>
      <c r="D33" s="41">
        <v>2021</v>
      </c>
      <c r="E33" s="41">
        <v>2023</v>
      </c>
      <c r="F33" s="37"/>
      <c r="G33" s="184">
        <f>(18.0198666666667+8.99648064+1.8263626826112)*0.199</f>
        <v>5.739699287866303</v>
      </c>
      <c r="H33" s="61">
        <v>43935</v>
      </c>
      <c r="I33" s="37">
        <f>(18.0198666666667+8.99648064+1.8263626826112)*0.199</f>
        <v>5.739699287866303</v>
      </c>
      <c r="J33" s="184">
        <f>I33</f>
        <v>5.739699287866303</v>
      </c>
      <c r="K33" s="184">
        <f>SUM(L33:N33)+R33</f>
        <v>3.5859534666666737</v>
      </c>
      <c r="L33" s="184"/>
      <c r="M33" s="184"/>
      <c r="N33" s="184">
        <f>18.0198666666667*0.199</f>
        <v>3.5859534666666737</v>
      </c>
      <c r="O33" s="184">
        <v>2.9882945555555613</v>
      </c>
      <c r="P33" s="184">
        <f>N33-O33-Q33</f>
        <v>0</v>
      </c>
      <c r="Q33" s="184">
        <f>N33/1.2*0.2</f>
        <v>0.5976589111111122</v>
      </c>
      <c r="R33" s="184"/>
      <c r="S33" s="184">
        <f>SUM(T33:V33)+Z33</f>
        <v>1.7902996473600001</v>
      </c>
      <c r="T33" s="184"/>
      <c r="U33" s="184"/>
      <c r="V33" s="184">
        <f>8.99648064*0.199</f>
        <v>1.7902996473600001</v>
      </c>
      <c r="W33" s="184">
        <v>1.4919163728</v>
      </c>
      <c r="X33" s="184">
        <f>V33-W33-Y33</f>
        <v>0</v>
      </c>
      <c r="Y33" s="184">
        <f>V33/1.2*0.2</f>
        <v>0.2983832745600001</v>
      </c>
      <c r="Z33" s="184"/>
      <c r="AA33" s="184">
        <f>SUM(AB33:AD33)+AH33</f>
        <v>0.36344617383962885</v>
      </c>
      <c r="AB33" s="184"/>
      <c r="AC33" s="184"/>
      <c r="AD33" s="185">
        <f>1.8263626826112*0.199</f>
        <v>0.36344617383962885</v>
      </c>
      <c r="AE33" s="184">
        <v>0.302871811533024</v>
      </c>
      <c r="AF33" s="184">
        <f>AD33-AE33-AG33</f>
        <v>0</v>
      </c>
      <c r="AG33" s="184">
        <f>AD33/1.2*0.2</f>
        <v>0.06057436230660482</v>
      </c>
      <c r="AH33" s="184"/>
      <c r="AI33" s="184">
        <f t="shared" si="7"/>
        <v>5.739699287866301</v>
      </c>
      <c r="AJ33" s="184"/>
      <c r="AK33" s="184"/>
      <c r="AL33" s="184">
        <f t="shared" si="11"/>
        <v>5.739699287866301</v>
      </c>
      <c r="AM33" s="184">
        <f t="shared" si="12"/>
        <v>4.7830827398885845</v>
      </c>
      <c r="AN33" s="184">
        <f t="shared" si="12"/>
        <v>0</v>
      </c>
      <c r="AO33" s="184">
        <f t="shared" si="12"/>
        <v>0.9566165479777171</v>
      </c>
      <c r="AP33" s="187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</row>
    <row r="34" spans="1:55" s="35" customFormat="1" ht="16.5" thickBot="1">
      <c r="A34" s="105"/>
      <c r="B34" s="177" t="s">
        <v>145</v>
      </c>
      <c r="C34" s="178"/>
      <c r="D34" s="179"/>
      <c r="E34" s="179"/>
      <c r="F34" s="180"/>
      <c r="G34" s="186">
        <f>SUM(G13:G33)</f>
        <v>1312.3170200653756</v>
      </c>
      <c r="H34" s="181"/>
      <c r="I34" s="180">
        <f>SUM(I13:I33)</f>
        <v>1393.4326650487058</v>
      </c>
      <c r="J34" s="186">
        <f>SUM(J13:J33)</f>
        <v>1393.4326650487058</v>
      </c>
      <c r="K34" s="186">
        <f>SUM(K13:K33)</f>
        <v>617.0515220536666</v>
      </c>
      <c r="L34" s="186"/>
      <c r="M34" s="186"/>
      <c r="N34" s="186">
        <f>SUM(N13:N33)</f>
        <v>617.0515220536666</v>
      </c>
      <c r="O34" s="186">
        <f>SUM(O13:O33)</f>
        <v>60.75710307851416</v>
      </c>
      <c r="P34" s="186">
        <f>SUM(P13:P33)</f>
        <v>453.4524986328747</v>
      </c>
      <c r="Q34" s="186">
        <f>SUM(Q13:Q33)</f>
        <v>102.84192034227777</v>
      </c>
      <c r="R34" s="186"/>
      <c r="S34" s="186">
        <f>SUM(S13:S33)</f>
        <v>578.2843022151316</v>
      </c>
      <c r="T34" s="186"/>
      <c r="U34" s="186"/>
      <c r="V34" s="186">
        <f>SUM(V13:V33)</f>
        <v>578.2843022151316</v>
      </c>
      <c r="W34" s="186">
        <f>SUM(W13:W33)</f>
        <v>102.63674636806829</v>
      </c>
      <c r="X34" s="186">
        <f>SUM(X13:X33)</f>
        <v>379.26683881120795</v>
      </c>
      <c r="Y34" s="186">
        <f>SUM(Y13:Y33)</f>
        <v>96.38071703585527</v>
      </c>
      <c r="Z34" s="186"/>
      <c r="AA34" s="186">
        <f>SUM(AA13:AA33)</f>
        <v>198.0968407799072</v>
      </c>
      <c r="AB34" s="186"/>
      <c r="AC34" s="186"/>
      <c r="AD34" s="186">
        <f>SUM(AD13:AD33)</f>
        <v>198.0968407799072</v>
      </c>
      <c r="AE34" s="186">
        <f>SUM(AE13:AE33)</f>
        <v>124.55072677864347</v>
      </c>
      <c r="AF34" s="186">
        <f>SUM(AF13:AF33)</f>
        <v>40.52997387127921</v>
      </c>
      <c r="AG34" s="186">
        <f>SUM(AG13:AG33)</f>
        <v>33.01614012998454</v>
      </c>
      <c r="AH34" s="186"/>
      <c r="AI34" s="186">
        <f aca="true" t="shared" si="13" ref="AI34:AO34">SUM(AI13:AI33)</f>
        <v>1393.4326650487055</v>
      </c>
      <c r="AJ34" s="186">
        <f t="shared" si="13"/>
        <v>0</v>
      </c>
      <c r="AK34" s="186">
        <f t="shared" si="13"/>
        <v>0</v>
      </c>
      <c r="AL34" s="186">
        <f t="shared" si="13"/>
        <v>1393.4326650487055</v>
      </c>
      <c r="AM34" s="186">
        <f t="shared" si="13"/>
        <v>287.9445762252259</v>
      </c>
      <c r="AN34" s="186">
        <f t="shared" si="13"/>
        <v>873.2493113153619</v>
      </c>
      <c r="AO34" s="186">
        <f t="shared" si="13"/>
        <v>232.2387775081176</v>
      </c>
      <c r="AP34" s="189"/>
      <c r="AQ34" s="1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</row>
    <row r="35" spans="1:42" ht="18.75">
      <c r="A35" s="218"/>
      <c r="B35" s="218"/>
      <c r="C35" s="40"/>
      <c r="D35" s="40"/>
      <c r="E35" s="40"/>
      <c r="F35" s="40"/>
      <c r="G35" s="51"/>
      <c r="H35" s="44"/>
      <c r="I35" s="5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1" ht="28.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E36" s="44"/>
      <c r="AF36" s="44"/>
      <c r="AG36" s="44"/>
      <c r="AH36" s="40"/>
      <c r="AI36" s="40"/>
      <c r="AM36" s="1"/>
      <c r="AN36" s="1"/>
      <c r="AO36" s="1"/>
    </row>
    <row r="37" spans="1:41" ht="23.25" customHeight="1">
      <c r="A37" s="11"/>
      <c r="B37" s="11"/>
      <c r="C37" s="11"/>
      <c r="D37" s="11"/>
      <c r="E37" s="11"/>
      <c r="F37" s="11"/>
      <c r="G37" s="52"/>
      <c r="H37" s="11"/>
      <c r="I37" s="11"/>
      <c r="J37" s="11"/>
      <c r="K37" s="40"/>
      <c r="O37" s="44"/>
      <c r="P37" s="44"/>
      <c r="Q37" s="44"/>
      <c r="S37" s="40"/>
      <c r="W37" s="44"/>
      <c r="X37" s="44"/>
      <c r="Y37" s="44"/>
      <c r="AA37" s="40"/>
      <c r="AE37" s="44"/>
      <c r="AF37" s="44"/>
      <c r="AG37" s="44"/>
      <c r="AL37" s="40"/>
      <c r="AM37" s="40"/>
      <c r="AN37" s="1"/>
      <c r="AO37" s="1"/>
    </row>
    <row r="38" spans="3:41" ht="16.5" customHeight="1">
      <c r="C38" s="11"/>
      <c r="G38" s="113"/>
      <c r="I38" s="113"/>
      <c r="K38" s="113"/>
      <c r="O38" s="44"/>
      <c r="P38" s="44"/>
      <c r="Q38" s="44"/>
      <c r="S38" s="113"/>
      <c r="W38" s="114"/>
      <c r="X38" s="44"/>
      <c r="Y38" s="44"/>
      <c r="AA38" s="113"/>
      <c r="AE38" s="44"/>
      <c r="AF38" s="44"/>
      <c r="AG38" s="44"/>
      <c r="AI38" s="40"/>
      <c r="AL38" s="113"/>
      <c r="AM38" s="1"/>
      <c r="AN38" s="1"/>
      <c r="AO38" s="1"/>
    </row>
    <row r="39" spans="3:41" ht="15.75">
      <c r="C39" s="11"/>
      <c r="G39" s="113"/>
      <c r="I39" s="113"/>
      <c r="K39" s="113"/>
      <c r="O39" s="1"/>
      <c r="P39" s="1"/>
      <c r="Q39" s="1"/>
      <c r="R39" s="40"/>
      <c r="S39" s="113"/>
      <c r="W39" s="40"/>
      <c r="X39" s="1"/>
      <c r="Y39" s="1"/>
      <c r="AA39" s="113"/>
      <c r="AE39" s="40"/>
      <c r="AF39" s="40"/>
      <c r="AG39" s="1"/>
      <c r="AL39" s="113"/>
      <c r="AM39" s="1"/>
      <c r="AN39" s="1"/>
      <c r="AO39" s="1"/>
    </row>
    <row r="40" spans="2:42" ht="18" customHeight="1">
      <c r="B40" s="11"/>
      <c r="C40" s="11"/>
      <c r="D40" s="11"/>
      <c r="E40" s="11"/>
      <c r="F40" s="11"/>
      <c r="G40" s="171"/>
      <c r="H40" s="148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</row>
    <row r="41" spans="1:41" ht="18" customHeight="1">
      <c r="A41" s="11"/>
      <c r="B41" s="11"/>
      <c r="C41" s="11"/>
      <c r="D41" s="11"/>
      <c r="E41" s="11"/>
      <c r="F41" s="11"/>
      <c r="G41" s="53"/>
      <c r="H41" s="11"/>
      <c r="I41" s="11"/>
      <c r="O41" s="40"/>
      <c r="P41" s="1"/>
      <c r="Q41" s="1"/>
      <c r="W41" s="40"/>
      <c r="X41" s="1"/>
      <c r="Y41" s="1"/>
      <c r="AE41" s="40"/>
      <c r="AF41" s="1"/>
      <c r="AG41" s="1"/>
      <c r="AM41" s="1"/>
      <c r="AN41" s="1"/>
      <c r="AO41" s="1"/>
    </row>
    <row r="42" spans="1:41" ht="15.75">
      <c r="A42" s="54"/>
      <c r="B42" s="54"/>
      <c r="C42" s="11"/>
      <c r="D42" s="54"/>
      <c r="E42" s="54"/>
      <c r="F42" s="54"/>
      <c r="G42" s="57"/>
      <c r="H42" s="54"/>
      <c r="O42" s="1"/>
      <c r="P42" s="1"/>
      <c r="Q42" s="1"/>
      <c r="W42" s="1"/>
      <c r="X42" s="1"/>
      <c r="Y42" s="1"/>
      <c r="AE42" s="1"/>
      <c r="AF42" s="1"/>
      <c r="AG42" s="1"/>
      <c r="AM42" s="1"/>
      <c r="AN42" s="1"/>
      <c r="AO42" s="1"/>
    </row>
    <row r="43" spans="2:23" ht="15.75">
      <c r="B43" s="55"/>
      <c r="C43" s="55"/>
      <c r="D43" s="55"/>
      <c r="E43" s="55"/>
      <c r="F43" s="55"/>
      <c r="G43" s="58"/>
      <c r="H43" s="55"/>
      <c r="I43" s="55"/>
      <c r="W43" s="1"/>
    </row>
    <row r="44" spans="2:9" ht="15.75">
      <c r="B44" s="11"/>
      <c r="C44" s="11"/>
      <c r="D44" s="11"/>
      <c r="E44" s="11"/>
      <c r="F44" s="11"/>
      <c r="G44" s="53"/>
      <c r="H44" s="11"/>
      <c r="I44" s="11"/>
    </row>
    <row r="45" spans="2:9" ht="15.75">
      <c r="B45" s="55"/>
      <c r="C45" s="55"/>
      <c r="D45" s="55"/>
      <c r="E45" s="55"/>
      <c r="F45" s="55"/>
      <c r="G45" s="59"/>
      <c r="H45" s="55"/>
      <c r="I45" s="55"/>
    </row>
    <row r="46" spans="2:9" ht="15.75">
      <c r="B46" s="12"/>
      <c r="C46" s="12"/>
      <c r="D46" s="12"/>
      <c r="E46" s="12"/>
      <c r="F46" s="12"/>
      <c r="G46" s="60"/>
      <c r="H46" s="12"/>
      <c r="I46" s="12"/>
    </row>
    <row r="47" spans="2:7" ht="15.75">
      <c r="B47" s="12"/>
      <c r="G47" s="56"/>
    </row>
    <row r="48" spans="2:9" ht="15.75">
      <c r="B48" s="214"/>
      <c r="C48" s="214"/>
      <c r="D48" s="214"/>
      <c r="E48" s="214"/>
      <c r="F48" s="214"/>
      <c r="G48" s="214"/>
      <c r="H48" s="214"/>
      <c r="I48" s="214"/>
    </row>
    <row r="50" ht="15.75">
      <c r="S50" s="133"/>
    </row>
  </sheetData>
  <sheetProtection/>
  <mergeCells count="21">
    <mergeCell ref="A3:Z3"/>
    <mergeCell ref="A4:Z4"/>
    <mergeCell ref="A6:Z6"/>
    <mergeCell ref="A7:Z7"/>
    <mergeCell ref="A9:A11"/>
    <mergeCell ref="K10:R10"/>
    <mergeCell ref="S10:Z10"/>
    <mergeCell ref="B48:I48"/>
    <mergeCell ref="D9:D11"/>
    <mergeCell ref="J9:J10"/>
    <mergeCell ref="K9:AP9"/>
    <mergeCell ref="F10:H10"/>
    <mergeCell ref="A35:B35"/>
    <mergeCell ref="AI10:AP10"/>
    <mergeCell ref="E9:E10"/>
    <mergeCell ref="I9:I10"/>
    <mergeCell ref="A36:AC36"/>
    <mergeCell ref="B9:B11"/>
    <mergeCell ref="AA10:AH10"/>
    <mergeCell ref="C9:C11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9 O29:Q29 G13 O13:Q13 G21:G22 O19:P23 W19:W28 W32:W33 AE22:AE28 AE16:AE17 W14:W17 O30 O32:O33 AE30 AE33 W30 AE19:AE20 O25:P28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Width="2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5"/>
  <sheetViews>
    <sheetView view="pageBreakPreview" zoomScale="55" zoomScaleNormal="78" zoomScaleSheetLayoutView="55" zoomScalePageLayoutView="0" workbookViewId="0" topLeftCell="B1">
      <selection activeCell="Q24" sqref="Q24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14" width="15.00390625" style="1" bestFit="1" customWidth="1"/>
    <col min="15" max="15" width="19.25390625" style="1" bestFit="1" customWidth="1"/>
    <col min="16" max="16" width="9.875" style="1" customWidth="1"/>
    <col min="17" max="17" width="11.25390625" style="1" customWidth="1"/>
    <col min="18" max="18" width="14.003906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48" t="s">
        <v>88</v>
      </c>
    </row>
    <row r="2" ht="18.75">
      <c r="O2" s="3"/>
    </row>
    <row r="3" spans="1:15" ht="18.75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46" ht="18.75">
      <c r="A4" s="225" t="s">
        <v>77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8" ht="18.75">
      <c r="A6" s="226" t="str">
        <f>'прил.1'!A6</f>
        <v>ОП "КурскАтомЭнергоСбыт" АО "АтомЭнергоСбыт" 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</row>
    <row r="7" spans="1:48" ht="15.75">
      <c r="A7" s="222" t="s">
        <v>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</row>
    <row r="8" spans="1:15" ht="15.75" customHeight="1" thickBo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</row>
    <row r="9" spans="1:15" ht="82.5" customHeight="1">
      <c r="A9" s="223" t="s">
        <v>3</v>
      </c>
      <c r="B9" s="210" t="s">
        <v>69</v>
      </c>
      <c r="C9" s="210" t="s">
        <v>70</v>
      </c>
      <c r="D9" s="215" t="s">
        <v>6</v>
      </c>
      <c r="E9" s="210" t="s">
        <v>78</v>
      </c>
      <c r="F9" s="210" t="s">
        <v>79</v>
      </c>
      <c r="G9" s="210" t="s">
        <v>120</v>
      </c>
      <c r="H9" s="210"/>
      <c r="I9" s="210"/>
      <c r="J9" s="230" t="s">
        <v>121</v>
      </c>
      <c r="K9" s="230"/>
      <c r="L9" s="210" t="s">
        <v>119</v>
      </c>
      <c r="M9" s="210"/>
      <c r="N9" s="210"/>
      <c r="O9" s="217"/>
    </row>
    <row r="10" spans="1:15" ht="40.5" customHeight="1">
      <c r="A10" s="224"/>
      <c r="B10" s="211"/>
      <c r="C10" s="211"/>
      <c r="D10" s="216"/>
      <c r="E10" s="211"/>
      <c r="F10" s="211"/>
      <c r="G10" s="207" t="s">
        <v>11</v>
      </c>
      <c r="H10" s="208"/>
      <c r="I10" s="208"/>
      <c r="J10" s="207" t="s">
        <v>181</v>
      </c>
      <c r="K10" s="213"/>
      <c r="L10" s="24" t="s">
        <v>67</v>
      </c>
      <c r="M10" s="24" t="s">
        <v>117</v>
      </c>
      <c r="N10" s="24" t="s">
        <v>182</v>
      </c>
      <c r="O10" s="228" t="s">
        <v>12</v>
      </c>
    </row>
    <row r="11" spans="1:15" ht="111.75">
      <c r="A11" s="224"/>
      <c r="B11" s="211"/>
      <c r="C11" s="211"/>
      <c r="D11" s="216"/>
      <c r="E11" s="27" t="s">
        <v>11</v>
      </c>
      <c r="F11" s="27" t="s">
        <v>13</v>
      </c>
      <c r="G11" s="7" t="s">
        <v>80</v>
      </c>
      <c r="H11" s="28" t="s">
        <v>81</v>
      </c>
      <c r="I11" s="28" t="s">
        <v>82</v>
      </c>
      <c r="J11" s="7" t="s">
        <v>83</v>
      </c>
      <c r="K11" s="7" t="s">
        <v>84</v>
      </c>
      <c r="L11" s="6" t="s">
        <v>11</v>
      </c>
      <c r="M11" s="6" t="s">
        <v>11</v>
      </c>
      <c r="N11" s="6" t="s">
        <v>11</v>
      </c>
      <c r="O11" s="228"/>
    </row>
    <row r="12" spans="1:16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08">
        <v>15</v>
      </c>
      <c r="P12" s="109"/>
    </row>
    <row r="13" spans="1:17" ht="16.5">
      <c r="A13" s="74" t="str">
        <f>'прил.1'!A13</f>
        <v>1.</v>
      </c>
      <c r="B13" s="154" t="s">
        <v>108</v>
      </c>
      <c r="C13" s="155"/>
      <c r="D13" s="41"/>
      <c r="E13" s="41"/>
      <c r="F13" s="156"/>
      <c r="G13" s="156"/>
      <c r="H13" s="156"/>
      <c r="I13" s="42"/>
      <c r="J13" s="42"/>
      <c r="K13" s="37"/>
      <c r="L13" s="46"/>
      <c r="M13" s="42"/>
      <c r="N13" s="42"/>
      <c r="O13" s="75"/>
      <c r="P13" s="109"/>
      <c r="Q13" s="109"/>
    </row>
    <row r="14" spans="1:21" ht="15.75">
      <c r="A14" s="70" t="str">
        <f>'прил.1'!A14</f>
        <v>1.1.</v>
      </c>
      <c r="B14" s="38" t="str">
        <f>'прил.1'!B14</f>
        <v>Установка шлагбаумов: г.Курск, ул. Энгельса, д.134 </v>
      </c>
      <c r="C14" s="65" t="str">
        <f>'прил.1'!C14</f>
        <v>K_L01</v>
      </c>
      <c r="D14" s="115">
        <f>'прил.1'!D14</f>
        <v>2022</v>
      </c>
      <c r="E14" s="115">
        <f>'прил.1'!E14</f>
        <v>2022</v>
      </c>
      <c r="F14" s="184">
        <f>'прил.1'!G14/1.2</f>
        <v>0.195</v>
      </c>
      <c r="G14" s="184">
        <f>SUM(H14:I14)</f>
        <v>0.20280000000000004</v>
      </c>
      <c r="H14" s="184">
        <f>'прил.1'!I14/1.2</f>
        <v>0.20280000000000004</v>
      </c>
      <c r="I14" s="191"/>
      <c r="J14" s="191"/>
      <c r="K14" s="184">
        <f>O14</f>
        <v>0.2028</v>
      </c>
      <c r="L14" s="192">
        <f>'прил.1'!K14-'прил.1'!Q14</f>
        <v>0</v>
      </c>
      <c r="M14" s="192">
        <f>'прил.1'!S14-'прил.1'!Y14</f>
        <v>0.2028</v>
      </c>
      <c r="N14" s="192">
        <f>'прил.1'!AA14-'прил.1'!AG14</f>
        <v>0</v>
      </c>
      <c r="O14" s="194">
        <f>L14+M14+N14</f>
        <v>0.2028</v>
      </c>
      <c r="Q14" s="183"/>
      <c r="R14" s="109"/>
      <c r="S14" s="109"/>
      <c r="T14" s="40"/>
      <c r="U14" s="109"/>
    </row>
    <row r="15" spans="1:21" ht="15.75">
      <c r="A15" s="70" t="str">
        <f>'прил.1'!A15</f>
        <v>1.2.</v>
      </c>
      <c r="B15" s="135" t="str">
        <f>'прил.1'!B15</f>
        <v>Модернизация системы контроля и управления доступом: г. Курск, ул. Энгельса, д. 134</v>
      </c>
      <c r="C15" s="136" t="str">
        <f>'прил.1'!C15</f>
        <v>K_L02</v>
      </c>
      <c r="D15" s="137">
        <f>'прил.1'!D15</f>
        <v>2022</v>
      </c>
      <c r="E15" s="137">
        <f>'прил.1'!E15</f>
        <v>2022</v>
      </c>
      <c r="F15" s="184">
        <f>'прил.1'!G15/1.2</f>
        <v>0.24</v>
      </c>
      <c r="G15" s="184">
        <f>SUM(H15:I15)</f>
        <v>0.24960000000000002</v>
      </c>
      <c r="H15" s="184">
        <f>'прил.1'!I15/1.2</f>
        <v>0.24960000000000002</v>
      </c>
      <c r="I15" s="191"/>
      <c r="J15" s="191"/>
      <c r="K15" s="184">
        <f>O15</f>
        <v>0.2496</v>
      </c>
      <c r="L15" s="192">
        <f>'прил.1'!K15-'прил.1'!Q15</f>
        <v>0</v>
      </c>
      <c r="M15" s="192">
        <f>'прил.1'!S15-'прил.1'!Y15</f>
        <v>0.2496</v>
      </c>
      <c r="N15" s="192">
        <f>'прил.1'!AA15-'прил.1'!AG15</f>
        <v>0</v>
      </c>
      <c r="O15" s="194">
        <f>L15+M15+N15</f>
        <v>0.2496</v>
      </c>
      <c r="Q15" s="183"/>
      <c r="R15" s="109"/>
      <c r="S15" s="109"/>
      <c r="T15" s="40"/>
      <c r="U15" s="109"/>
    </row>
    <row r="16" spans="1:21" ht="15.75">
      <c r="A16" s="70" t="str">
        <f>'прил.1'!A16</f>
        <v>1.3.</v>
      </c>
      <c r="B16" s="135" t="str">
        <f>'прил.1'!B16</f>
        <v>Система видеонаблюдения: г. Курск, ул. Энгельса, д. 134</v>
      </c>
      <c r="C16" s="136" t="str">
        <f>'прил.1'!C16</f>
        <v>K_L03</v>
      </c>
      <c r="D16" s="137">
        <f>'прил.1'!D16</f>
        <v>2023</v>
      </c>
      <c r="E16" s="137">
        <f>'прил.1'!E16</f>
        <v>2023</v>
      </c>
      <c r="F16" s="184">
        <f>'прил.1'!G16/1.2</f>
        <v>0.99</v>
      </c>
      <c r="G16" s="184">
        <f>SUM(H16:I16)</f>
        <v>1.070784</v>
      </c>
      <c r="H16" s="184">
        <f>'прил.1'!I16/1.2</f>
        <v>1.070784</v>
      </c>
      <c r="I16" s="191"/>
      <c r="J16" s="191"/>
      <c r="K16" s="184">
        <f>O16</f>
        <v>1.070784</v>
      </c>
      <c r="L16" s="192">
        <f>'прил.1'!K16-'прил.1'!Q16</f>
        <v>0</v>
      </c>
      <c r="M16" s="192">
        <f>'прил.1'!S16-'прил.1'!Y16</f>
        <v>0</v>
      </c>
      <c r="N16" s="192">
        <f>'прил.1'!AA16-'прил.1'!AG16</f>
        <v>1.070784</v>
      </c>
      <c r="O16" s="194">
        <f>L16+M16+N16</f>
        <v>1.070784</v>
      </c>
      <c r="Q16" s="183"/>
      <c r="R16" s="109"/>
      <c r="S16" s="109"/>
      <c r="T16" s="40"/>
      <c r="U16" s="109"/>
    </row>
    <row r="17" spans="1:21" ht="15.75">
      <c r="A17" s="70" t="str">
        <f>'прил.1'!A17</f>
        <v>1.4.</v>
      </c>
      <c r="B17" s="135" t="str">
        <f>'прил.1'!B17</f>
        <v>Охранно-пожарная сигнализация в участке </v>
      </c>
      <c r="C17" s="136" t="str">
        <f>'прил.1'!C17</f>
        <v>K_L04</v>
      </c>
      <c r="D17" s="137">
        <f>'прил.1'!D17</f>
        <v>2022</v>
      </c>
      <c r="E17" s="137">
        <f>'прил.1'!E17</f>
        <v>2023</v>
      </c>
      <c r="F17" s="184">
        <f>'прил.1'!G17/1.2</f>
        <v>2.18</v>
      </c>
      <c r="G17" s="184">
        <f>SUM(H17:I17)</f>
        <v>2.2979840000000005</v>
      </c>
      <c r="H17" s="184">
        <f>'прил.1'!I17/1.2</f>
        <v>2.2979840000000005</v>
      </c>
      <c r="I17" s="191"/>
      <c r="J17" s="191"/>
      <c r="K17" s="184">
        <f>O17</f>
        <v>2.297984</v>
      </c>
      <c r="L17" s="192">
        <f>'прил.1'!K17-'прил.1'!Q17</f>
        <v>0</v>
      </c>
      <c r="M17" s="192">
        <f>'прил.1'!S17-'прил.1'!Y17</f>
        <v>1.4976</v>
      </c>
      <c r="N17" s="192">
        <f>'прил.1'!AA17-'прил.1'!AG17</f>
        <v>0.800384</v>
      </c>
      <c r="O17" s="194">
        <f>L17+M17+N17</f>
        <v>2.297984</v>
      </c>
      <c r="Q17" s="183"/>
      <c r="R17" s="109"/>
      <c r="S17" s="109"/>
      <c r="T17" s="40"/>
      <c r="U17" s="109"/>
    </row>
    <row r="18" spans="1:21" ht="15.75">
      <c r="A18" s="74" t="str">
        <f>'прил.1'!A18</f>
        <v>2.</v>
      </c>
      <c r="B18" s="145" t="s">
        <v>109</v>
      </c>
      <c r="C18" s="134"/>
      <c r="D18" s="41"/>
      <c r="E18" s="41"/>
      <c r="F18" s="191"/>
      <c r="G18" s="191"/>
      <c r="H18" s="191"/>
      <c r="I18" s="191"/>
      <c r="J18" s="191"/>
      <c r="K18" s="191"/>
      <c r="L18" s="191"/>
      <c r="M18" s="191"/>
      <c r="N18" s="192"/>
      <c r="O18" s="193"/>
      <c r="Q18" s="183"/>
      <c r="R18" s="109"/>
      <c r="S18" s="109"/>
      <c r="T18" s="40"/>
      <c r="U18" s="109"/>
    </row>
    <row r="19" spans="1:21" ht="15.75">
      <c r="A19" s="70" t="str">
        <f>'прил.1'!A19</f>
        <v>2.1.</v>
      </c>
      <c r="B19" s="143" t="str">
        <f>'прил.1'!B19</f>
        <v>Коммутатор Cisco</v>
      </c>
      <c r="C19" s="144" t="str">
        <f>'прил.1'!C19</f>
        <v>K_L05</v>
      </c>
      <c r="D19" s="115">
        <f>'прил.1'!D19</f>
        <v>2022</v>
      </c>
      <c r="E19" s="115">
        <f>'прил.1'!E19</f>
        <v>2022</v>
      </c>
      <c r="F19" s="190">
        <f>'прил.1'!G19/1.2</f>
        <v>5.859041625000001</v>
      </c>
      <c r="G19" s="184">
        <f aca="true" t="shared" si="0" ref="G19:G24">SUM(H19:I19)</f>
        <v>5.859041625000001</v>
      </c>
      <c r="H19" s="184">
        <f>'прил.1'!I19/1.2</f>
        <v>5.859041625000001</v>
      </c>
      <c r="I19" s="191"/>
      <c r="J19" s="191"/>
      <c r="K19" s="184">
        <f aca="true" t="shared" si="1" ref="K19:K24">O19</f>
        <v>5.859041625</v>
      </c>
      <c r="L19" s="192">
        <f>'прил.1'!K19-'прил.1'!Q19</f>
        <v>0</v>
      </c>
      <c r="M19" s="192">
        <f>'прил.1'!S19-'прил.1'!Y19</f>
        <v>5.859041625</v>
      </c>
      <c r="N19" s="192">
        <f>'прил.1'!AA19-'прил.1'!AG19</f>
        <v>0</v>
      </c>
      <c r="O19" s="194">
        <f aca="true" t="shared" si="2" ref="O19:O28">L19+M19+N19</f>
        <v>5.859041625</v>
      </c>
      <c r="Q19" s="183"/>
      <c r="R19" s="109"/>
      <c r="S19" s="109"/>
      <c r="T19" s="40"/>
      <c r="U19" s="109"/>
    </row>
    <row r="20" spans="1:21" ht="15.75">
      <c r="A20" s="70" t="str">
        <f>'прил.1'!A20</f>
        <v>2.2.</v>
      </c>
      <c r="B20" s="143" t="str">
        <f>'прил.1'!B20</f>
        <v>Приобретение оргтехники</v>
      </c>
      <c r="C20" s="144" t="str">
        <f>'прил.1'!C20</f>
        <v>K_L06</v>
      </c>
      <c r="D20" s="115">
        <f>'прил.1'!D20</f>
        <v>2023</v>
      </c>
      <c r="E20" s="115">
        <f>'прил.1'!E20</f>
        <v>2023</v>
      </c>
      <c r="F20" s="190">
        <f>'прил.1'!G20/1.2</f>
        <v>13.663123710312835</v>
      </c>
      <c r="G20" s="184">
        <f t="shared" si="0"/>
        <v>13.663123710312835</v>
      </c>
      <c r="H20" s="184">
        <f>'прил.1'!I20/1.2</f>
        <v>13.663123710312835</v>
      </c>
      <c r="I20" s="191"/>
      <c r="J20" s="191"/>
      <c r="K20" s="184">
        <f>O20</f>
        <v>13.663123710312833</v>
      </c>
      <c r="L20" s="192">
        <f>'прил.1'!K20-'прил.1'!Q20</f>
        <v>0</v>
      </c>
      <c r="M20" s="192">
        <f>'прил.1'!S20-'прил.1'!Y20</f>
        <v>0</v>
      </c>
      <c r="N20" s="192">
        <f>'прил.1'!AA20-'прил.1'!AG20</f>
        <v>13.663123710312833</v>
      </c>
      <c r="O20" s="194">
        <f t="shared" si="2"/>
        <v>13.663123710312833</v>
      </c>
      <c r="Q20" s="183"/>
      <c r="R20" s="109"/>
      <c r="S20" s="109"/>
      <c r="T20" s="40"/>
      <c r="U20" s="109"/>
    </row>
    <row r="21" spans="1:21" ht="31.5">
      <c r="A21" s="70" t="str">
        <f>'прил.1'!A21</f>
        <v>2.3.</v>
      </c>
      <c r="B21" s="143" t="str">
        <f>'прил.1'!B21</f>
        <v>Система хранения данных (СХД) Lenovo Storage V3700 V2 SFF Control Enclosure (6535C2D)</v>
      </c>
      <c r="C21" s="144" t="str">
        <f>'прил.1'!C21</f>
        <v>K_L07</v>
      </c>
      <c r="D21" s="115">
        <f>'прил.1'!D21</f>
        <v>2022</v>
      </c>
      <c r="E21" s="115">
        <f>'прил.1'!E21</f>
        <v>2022</v>
      </c>
      <c r="F21" s="190">
        <f>'прил.1'!G21/1.2</f>
        <v>6.186124325</v>
      </c>
      <c r="G21" s="184">
        <f t="shared" si="0"/>
        <v>6.186124325</v>
      </c>
      <c r="H21" s="184">
        <f>'прил.1'!I21/1.2</f>
        <v>6.186124325</v>
      </c>
      <c r="I21" s="191"/>
      <c r="J21" s="191"/>
      <c r="K21" s="184">
        <f t="shared" si="1"/>
        <v>6.186124325</v>
      </c>
      <c r="L21" s="192">
        <f>'прил.1'!K21-'прил.1'!Q21</f>
        <v>0</v>
      </c>
      <c r="M21" s="192">
        <f>'прил.1'!S21-'прил.1'!Y21</f>
        <v>6.186124325</v>
      </c>
      <c r="N21" s="192">
        <f>'прил.1'!AA21-'прил.1'!AG21</f>
        <v>0</v>
      </c>
      <c r="O21" s="194">
        <f t="shared" si="2"/>
        <v>6.186124325</v>
      </c>
      <c r="Q21" s="183"/>
      <c r="R21" s="109"/>
      <c r="S21" s="109"/>
      <c r="T21" s="40"/>
      <c r="U21" s="109"/>
    </row>
    <row r="22" spans="1:21" ht="15.75">
      <c r="A22" s="70" t="str">
        <f>'прил.1'!A22</f>
        <v>2.4.</v>
      </c>
      <c r="B22" s="143" t="str">
        <f>'прил.1'!B22</f>
        <v>ИБП APC SRC2KI Smart-UPS RC 2000VA 1600W</v>
      </c>
      <c r="C22" s="144" t="str">
        <f>'прил.1'!C22</f>
        <v>K_01</v>
      </c>
      <c r="D22" s="115">
        <f>'прил.1'!D22</f>
        <v>2022</v>
      </c>
      <c r="E22" s="115">
        <f>'прил.1'!E22</f>
        <v>2022</v>
      </c>
      <c r="F22" s="190">
        <f>'прил.1'!G22/1.2</f>
        <v>0.15825869996851202</v>
      </c>
      <c r="G22" s="184">
        <f t="shared" si="0"/>
        <v>0.15825869996851202</v>
      </c>
      <c r="H22" s="184">
        <f>'прил.1'!I22/1.2</f>
        <v>0.15825869996851202</v>
      </c>
      <c r="I22" s="191"/>
      <c r="J22" s="191"/>
      <c r="K22" s="184">
        <f t="shared" si="1"/>
        <v>0.158258699968512</v>
      </c>
      <c r="L22" s="192">
        <f>'прил.1'!K22-'прил.1'!Q22</f>
        <v>0</v>
      </c>
      <c r="M22" s="192">
        <f>'прил.1'!S22-'прил.1'!Y22</f>
        <v>0.158258699968512</v>
      </c>
      <c r="N22" s="192">
        <f>'прил.1'!AA22-'прил.1'!AG22</f>
        <v>0</v>
      </c>
      <c r="O22" s="194">
        <f t="shared" si="2"/>
        <v>0.158258699968512</v>
      </c>
      <c r="Q22" s="183"/>
      <c r="R22" s="109"/>
      <c r="S22" s="109"/>
      <c r="T22" s="40"/>
      <c r="U22" s="109"/>
    </row>
    <row r="23" spans="1:21" ht="15.75">
      <c r="A23" s="70" t="str">
        <f>'прил.1'!A23</f>
        <v>2.5.</v>
      </c>
      <c r="B23" s="143" t="str">
        <f>'прил.1'!B23</f>
        <v>Ленточная библиотека HPE STOREEVER MSL2024 LTO-7 15000 SAS (P9G69A</v>
      </c>
      <c r="C23" s="144" t="str">
        <f>'прил.1'!C23</f>
        <v>K_02</v>
      </c>
      <c r="D23" s="115">
        <f>'прил.1'!D23</f>
        <v>2022</v>
      </c>
      <c r="E23" s="115">
        <f>'прил.1'!E23</f>
        <v>2022</v>
      </c>
      <c r="F23" s="190">
        <f>'прил.1'!G23/1.2</f>
        <v>0.29022437060642137</v>
      </c>
      <c r="G23" s="184">
        <f t="shared" si="0"/>
        <v>0.29022437060642137</v>
      </c>
      <c r="H23" s="184">
        <f>'прил.1'!I23/1.2</f>
        <v>0.29022437060642137</v>
      </c>
      <c r="I23" s="191"/>
      <c r="J23" s="191"/>
      <c r="K23" s="184">
        <f t="shared" si="1"/>
        <v>0.2902243706064213</v>
      </c>
      <c r="L23" s="192">
        <f>'прил.1'!K23-'прил.1'!Q23</f>
        <v>0</v>
      </c>
      <c r="M23" s="192">
        <f>'прил.1'!S23-'прил.1'!Y23</f>
        <v>0.2902243706064213</v>
      </c>
      <c r="N23" s="192">
        <f>'прил.1'!AA23-'прил.1'!AG23</f>
        <v>0</v>
      </c>
      <c r="O23" s="194">
        <f t="shared" si="2"/>
        <v>0.2902243706064213</v>
      </c>
      <c r="Q23" s="183"/>
      <c r="R23" s="109"/>
      <c r="S23" s="109"/>
      <c r="T23" s="40"/>
      <c r="U23" s="109"/>
    </row>
    <row r="24" spans="1:21" ht="31.5">
      <c r="A24" s="70" t="str">
        <f>'прил.1'!A24</f>
        <v>2.6.</v>
      </c>
      <c r="B24" s="143" t="str">
        <f>'прил.1'!B24</f>
        <v>Система хранения данных (СХД) HPE MSA 1050 8Gb Fibre Channel Dual Controller SFF Storage (Q2R19A)</v>
      </c>
      <c r="C24" s="144" t="str">
        <f>'прил.1'!C24</f>
        <v>K_03</v>
      </c>
      <c r="D24" s="115">
        <f>'прил.1'!D24</f>
        <v>2022</v>
      </c>
      <c r="E24" s="115">
        <f>'прил.1'!E24</f>
        <v>2022</v>
      </c>
      <c r="F24" s="190">
        <f>'прил.1'!G24/1.2</f>
        <v>0.9962677717346987</v>
      </c>
      <c r="G24" s="184">
        <f t="shared" si="0"/>
        <v>0.9962677717346987</v>
      </c>
      <c r="H24" s="184">
        <f>'прил.1'!I24/1.2</f>
        <v>0.9962677717346987</v>
      </c>
      <c r="I24" s="195"/>
      <c r="J24" s="195"/>
      <c r="K24" s="184">
        <f t="shared" si="1"/>
        <v>0.9962677717346986</v>
      </c>
      <c r="L24" s="190">
        <f>'прил.1'!K24-'прил.1'!Q24</f>
        <v>0</v>
      </c>
      <c r="M24" s="190">
        <f>'прил.1'!S24-'прил.1'!Y24</f>
        <v>0.9962677717346986</v>
      </c>
      <c r="N24" s="190">
        <f>'прил.1'!AA24-'прил.1'!AG24</f>
        <v>0</v>
      </c>
      <c r="O24" s="196">
        <f t="shared" si="2"/>
        <v>0.9962677717346986</v>
      </c>
      <c r="Q24" s="183"/>
      <c r="R24" s="109"/>
      <c r="S24" s="109"/>
      <c r="T24" s="40"/>
      <c r="U24" s="109"/>
    </row>
    <row r="25" spans="1:21" ht="15.75">
      <c r="A25" s="70" t="str">
        <f>'прил.1'!A25</f>
        <v>2.7.</v>
      </c>
      <c r="B25" s="143" t="str">
        <f>'прил.1'!B25</f>
        <v>МФУ HP LaserJet Enterprise 700 M725dn (CF066A)</v>
      </c>
      <c r="C25" s="144" t="str">
        <f>'прил.1'!C25</f>
        <v>K_04</v>
      </c>
      <c r="D25" s="115">
        <f>'прил.1'!D25</f>
        <v>2023</v>
      </c>
      <c r="E25" s="115">
        <f>'прил.1'!E25</f>
        <v>2023</v>
      </c>
      <c r="F25" s="190">
        <f>'прил.1'!G25/1.2</f>
        <v>0.48806368573807457</v>
      </c>
      <c r="G25" s="184">
        <f>SUM(H25:I25)</f>
        <v>0.48806368573807457</v>
      </c>
      <c r="H25" s="184">
        <f>'прил.1'!I25/1.2</f>
        <v>0.48806368573807457</v>
      </c>
      <c r="I25" s="195"/>
      <c r="J25" s="195"/>
      <c r="K25" s="184">
        <f>O25</f>
        <v>0.4880636857380745</v>
      </c>
      <c r="L25" s="190">
        <f>'прил.1'!K25-'прил.1'!Q25</f>
        <v>0</v>
      </c>
      <c r="M25" s="190">
        <f>'прил.1'!S25-'прил.1'!Y25</f>
        <v>0</v>
      </c>
      <c r="N25" s="190">
        <f>'прил.1'!AA25-'прил.1'!AG25</f>
        <v>0.4880636857380745</v>
      </c>
      <c r="O25" s="196">
        <f t="shared" si="2"/>
        <v>0.4880636857380745</v>
      </c>
      <c r="Q25" s="183"/>
      <c r="R25" s="109"/>
      <c r="S25" s="109"/>
      <c r="T25" s="40"/>
      <c r="U25" s="109"/>
    </row>
    <row r="26" spans="1:21" ht="15.75">
      <c r="A26" s="70" t="str">
        <f>'прил.1'!A26</f>
        <v>2.8.</v>
      </c>
      <c r="B26" s="143" t="str">
        <f>'прил.1'!B26</f>
        <v>Маршрутизатор Cisco ISR4431/K9</v>
      </c>
      <c r="C26" s="144" t="str">
        <f>'прил.1'!C26</f>
        <v>K_05</v>
      </c>
      <c r="D26" s="115">
        <f>'прил.1'!D26</f>
        <v>2023</v>
      </c>
      <c r="E26" s="115">
        <f>'прил.1'!E26</f>
        <v>2023</v>
      </c>
      <c r="F26" s="190">
        <f>'прил.1'!G26/1.2</f>
        <v>0.3062126894046525</v>
      </c>
      <c r="G26" s="184">
        <f>SUM(H26:I26)</f>
        <v>0.3062126894046525</v>
      </c>
      <c r="H26" s="184">
        <f>'прил.1'!I26/1.2</f>
        <v>0.3062126894046525</v>
      </c>
      <c r="I26" s="195"/>
      <c r="J26" s="195"/>
      <c r="K26" s="184">
        <f>O26</f>
        <v>0.3062126894046525</v>
      </c>
      <c r="L26" s="190">
        <f>'прил.1'!K26-'прил.1'!Q26</f>
        <v>0</v>
      </c>
      <c r="M26" s="190">
        <f>'прил.1'!S26-'прил.1'!Y26</f>
        <v>0</v>
      </c>
      <c r="N26" s="190">
        <f>'прил.1'!AA26-'прил.1'!AG26</f>
        <v>0.3062126894046525</v>
      </c>
      <c r="O26" s="196">
        <f t="shared" si="2"/>
        <v>0.3062126894046525</v>
      </c>
      <c r="Q26" s="183"/>
      <c r="R26" s="109"/>
      <c r="S26" s="109"/>
      <c r="T26" s="40"/>
      <c r="U26" s="109"/>
    </row>
    <row r="27" spans="1:21" ht="15.75">
      <c r="A27" s="70" t="str">
        <f>'прил.1'!A27</f>
        <v>2.9.</v>
      </c>
      <c r="B27" s="143" t="str">
        <f>'прил.1'!B27</f>
        <v>Моноблок HP ProOne 440 G3 (1KN99EA)</v>
      </c>
      <c r="C27" s="144" t="str">
        <f>'прил.1'!C27</f>
        <v>K_06</v>
      </c>
      <c r="D27" s="115">
        <f>'прил.1'!D27</f>
        <v>2023</v>
      </c>
      <c r="E27" s="115">
        <f>'прил.1'!E27</f>
        <v>2023</v>
      </c>
      <c r="F27" s="190">
        <f>'прил.1'!G27/1.2</f>
        <v>1.6544693926678886</v>
      </c>
      <c r="G27" s="184">
        <f>SUM(H27:I27)</f>
        <v>1.6544693926678886</v>
      </c>
      <c r="H27" s="184">
        <f>'прил.1'!I27/1.2</f>
        <v>1.6544693926678886</v>
      </c>
      <c r="I27" s="195"/>
      <c r="J27" s="195"/>
      <c r="K27" s="184">
        <f>O27</f>
        <v>1.6544693926678884</v>
      </c>
      <c r="L27" s="190">
        <f>'прил.1'!K27-'прил.1'!Q27</f>
        <v>0</v>
      </c>
      <c r="M27" s="190">
        <f>'прил.1'!S27-'прил.1'!Y27</f>
        <v>0</v>
      </c>
      <c r="N27" s="190">
        <f>'прил.1'!AA27-'прил.1'!AG27</f>
        <v>1.6544693926678884</v>
      </c>
      <c r="O27" s="196">
        <f t="shared" si="2"/>
        <v>1.6544693926678884</v>
      </c>
      <c r="Q27" s="183"/>
      <c r="R27" s="109"/>
      <c r="S27" s="109"/>
      <c r="T27" s="40"/>
      <c r="U27" s="109"/>
    </row>
    <row r="28" spans="1:21" ht="15.75">
      <c r="A28" s="70" t="str">
        <f>'прил.1'!A28</f>
        <v>2.10.</v>
      </c>
      <c r="B28" s="143" t="str">
        <f>'прил.1'!B28</f>
        <v>PowerEdge R740XD Server</v>
      </c>
      <c r="C28" s="144" t="str">
        <f>'прил.1'!C28</f>
        <v>K_07</v>
      </c>
      <c r="D28" s="115">
        <f>'прил.1'!D28</f>
        <v>2023</v>
      </c>
      <c r="E28" s="115">
        <f>'прил.1'!E28</f>
        <v>2023</v>
      </c>
      <c r="F28" s="190">
        <f>'прил.1'!G28/1.2</f>
        <v>1.9991717935995434</v>
      </c>
      <c r="G28" s="184">
        <f>SUM(H28:I28)</f>
        <v>1.9991717935995434</v>
      </c>
      <c r="H28" s="184">
        <f>'прил.1'!I28/1.2</f>
        <v>1.9991717935995434</v>
      </c>
      <c r="I28" s="195"/>
      <c r="J28" s="195"/>
      <c r="K28" s="184">
        <f>O28</f>
        <v>1.9991717935995434</v>
      </c>
      <c r="L28" s="190">
        <f>'прил.1'!K28-'прил.1'!Q28</f>
        <v>0</v>
      </c>
      <c r="M28" s="190">
        <f>'прил.1'!S28-'прил.1'!Y28</f>
        <v>0</v>
      </c>
      <c r="N28" s="190">
        <f>'прил.1'!AA28-'прил.1'!AG28</f>
        <v>1.9991717935995434</v>
      </c>
      <c r="O28" s="196">
        <f t="shared" si="2"/>
        <v>1.9991717935995434</v>
      </c>
      <c r="Q28" s="183"/>
      <c r="R28" s="109"/>
      <c r="S28" s="109"/>
      <c r="T28" s="40"/>
      <c r="U28" s="109"/>
    </row>
    <row r="29" spans="1:21" ht="15.75">
      <c r="A29" s="69" t="str">
        <f>'прил.1'!A29</f>
        <v>3.</v>
      </c>
      <c r="B29" s="43" t="str">
        <f>'прил.1'!B29</f>
        <v>Оснащение интеллектуальной системой учета</v>
      </c>
      <c r="C29" s="150"/>
      <c r="D29" s="151"/>
      <c r="E29" s="151"/>
      <c r="F29" s="184"/>
      <c r="G29" s="184"/>
      <c r="H29" s="184"/>
      <c r="I29" s="191"/>
      <c r="J29" s="191"/>
      <c r="K29" s="184"/>
      <c r="L29" s="192"/>
      <c r="M29" s="192"/>
      <c r="N29" s="192"/>
      <c r="O29" s="194"/>
      <c r="Q29" s="183"/>
      <c r="R29" s="109"/>
      <c r="S29" s="109"/>
      <c r="T29" s="40"/>
      <c r="U29" s="109"/>
    </row>
    <row r="30" spans="1:21" ht="15.75">
      <c r="A30" s="70" t="str">
        <f>'прил.1'!A30</f>
        <v>3.1.</v>
      </c>
      <c r="B30" s="143" t="str">
        <f>'прил.1'!B30</f>
        <v>Оборудование многоквартирных жилых домов интеллектуальной системой учета </v>
      </c>
      <c r="C30" s="36" t="str">
        <f>'прил.1'!C30</f>
        <v>K_L15</v>
      </c>
      <c r="D30" s="115">
        <f>'прил.1'!D30</f>
        <v>2021</v>
      </c>
      <c r="E30" s="115">
        <f>'прил.1'!E30</f>
        <v>2023</v>
      </c>
      <c r="F30" s="190">
        <f>'прил.1'!G30/1.2</f>
        <v>1046.318995472225</v>
      </c>
      <c r="G30" s="184">
        <f>SUM(H30:I30)</f>
        <v>1113.6991982916668</v>
      </c>
      <c r="H30" s="184">
        <f>'прил.1'!I30/1.2</f>
        <v>1113.6991982916668</v>
      </c>
      <c r="I30" s="191"/>
      <c r="J30" s="191"/>
      <c r="K30" s="184">
        <f>O30</f>
        <v>1113.6991982916666</v>
      </c>
      <c r="L30" s="192">
        <f>'прил.1'!K30-'прил.1'!Q30</f>
        <v>507.5765669333333</v>
      </c>
      <c r="M30" s="192">
        <f>'прил.1'!S30-'прил.1'!Y30</f>
        <v>461.3270117916666</v>
      </c>
      <c r="N30" s="192">
        <f>'прил.1'!AA30-'прил.1'!AG30</f>
        <v>144.79561956666666</v>
      </c>
      <c r="O30" s="194">
        <f>L30+M30+N30</f>
        <v>1113.6991982916666</v>
      </c>
      <c r="Q30" s="183"/>
      <c r="R30" s="109"/>
      <c r="S30" s="109"/>
      <c r="T30" s="40"/>
      <c r="U30" s="109"/>
    </row>
    <row r="31" spans="1:21" ht="15.75">
      <c r="A31" s="74" t="str">
        <f>'прил.1'!A31</f>
        <v>4.</v>
      </c>
      <c r="B31" s="145" t="str">
        <f>'прил.1'!B31</f>
        <v>Иные проекты</v>
      </c>
      <c r="C31" s="36"/>
      <c r="D31" s="115"/>
      <c r="E31" s="115"/>
      <c r="F31" s="197"/>
      <c r="G31" s="197"/>
      <c r="H31" s="197"/>
      <c r="I31" s="191"/>
      <c r="J31" s="191"/>
      <c r="K31" s="184"/>
      <c r="L31" s="192"/>
      <c r="M31" s="192"/>
      <c r="N31" s="192"/>
      <c r="O31" s="194"/>
      <c r="Q31" s="183"/>
      <c r="R31" s="109"/>
      <c r="S31" s="109"/>
      <c r="T31" s="40"/>
      <c r="U31" s="109"/>
    </row>
    <row r="32" spans="1:21" ht="15.75">
      <c r="A32" s="70" t="str">
        <f>'прил.1'!A32</f>
        <v>4.1.</v>
      </c>
      <c r="B32" s="38" t="str">
        <f>'прил.1'!B32</f>
        <v>Омниканальная платформа (CRM)</v>
      </c>
      <c r="C32" s="36" t="str">
        <f>'прил.1'!C32</f>
        <v>K_08</v>
      </c>
      <c r="D32" s="115">
        <f>'прил.1'!D32</f>
        <v>2021</v>
      </c>
      <c r="E32" s="115">
        <f>'прил.1'!E32</f>
        <v>2022</v>
      </c>
      <c r="F32" s="197">
        <f>'прил.1'!G32/1.2</f>
        <v>7.289480445000001</v>
      </c>
      <c r="G32" s="197">
        <f>SUM(H32:I32)</f>
        <v>7.289480445000001</v>
      </c>
      <c r="H32" s="184">
        <f>'прил.1'!I32/1.2-I32</f>
        <v>7.289480445000001</v>
      </c>
      <c r="I32" s="190"/>
      <c r="J32" s="191"/>
      <c r="K32" s="184">
        <f>O32</f>
        <v>7.289480445000001</v>
      </c>
      <c r="L32" s="192">
        <f>'прил.1'!K32-'прил.1'!Q32</f>
        <v>3.6447402225000003</v>
      </c>
      <c r="M32" s="192">
        <f>'прил.1'!S32-'прил.1'!Y32</f>
        <v>3.6447402225000003</v>
      </c>
      <c r="N32" s="192">
        <f>'прил.1'!AA32-'прил.1'!AG32</f>
        <v>0</v>
      </c>
      <c r="O32" s="194">
        <f>L32+M32+N32</f>
        <v>7.289480445000001</v>
      </c>
      <c r="Q32" s="183"/>
      <c r="R32" s="109"/>
      <c r="S32" s="109"/>
      <c r="T32" s="40"/>
      <c r="U32" s="109"/>
    </row>
    <row r="33" spans="1:21" ht="15.75">
      <c r="A33" s="70" t="str">
        <f>'прил.1'!A33</f>
        <v>4.2.</v>
      </c>
      <c r="B33" s="38" t="str">
        <f>'прил.1'!B33</f>
        <v>Интеграционная шина </v>
      </c>
      <c r="C33" s="36" t="str">
        <f>'прил.1'!C33</f>
        <v>K_09</v>
      </c>
      <c r="D33" s="115">
        <f>'прил.1'!D33</f>
        <v>2021</v>
      </c>
      <c r="E33" s="115">
        <f>'прил.1'!E33</f>
        <v>2023</v>
      </c>
      <c r="F33" s="197">
        <f>'прил.1'!G33/1.2</f>
        <v>4.783082739888586</v>
      </c>
      <c r="G33" s="197">
        <f>SUM(H33:I33)</f>
        <v>4.783082739888586</v>
      </c>
      <c r="H33" s="197">
        <f>'прил.1'!I33/1.2</f>
        <v>4.783082739888586</v>
      </c>
      <c r="I33" s="184"/>
      <c r="J33" s="191"/>
      <c r="K33" s="184">
        <f>O33</f>
        <v>4.7830827398885845</v>
      </c>
      <c r="L33" s="192">
        <f>'прил.1'!K33-'прил.1'!Q33</f>
        <v>2.9882945555555613</v>
      </c>
      <c r="M33" s="192">
        <f>'прил.1'!S33-'прил.1'!Y33</f>
        <v>1.4919163728</v>
      </c>
      <c r="N33" s="192">
        <f>'прил.1'!AA33-'прил.1'!AG33</f>
        <v>0.302871811533024</v>
      </c>
      <c r="O33" s="194">
        <f>L33+M33+N33</f>
        <v>4.7830827398885845</v>
      </c>
      <c r="Q33" s="183"/>
      <c r="R33" s="109"/>
      <c r="S33" s="109"/>
      <c r="T33" s="40"/>
      <c r="U33" s="109"/>
    </row>
    <row r="34" spans="1:20" s="35" customFormat="1" ht="17.25" thickBot="1">
      <c r="A34" s="72"/>
      <c r="B34" s="161" t="s">
        <v>145</v>
      </c>
      <c r="C34" s="162"/>
      <c r="D34" s="163"/>
      <c r="E34" s="163"/>
      <c r="F34" s="198">
        <f>SUM(F13:F33)</f>
        <v>1093.5975167211461</v>
      </c>
      <c r="G34" s="198">
        <f aca="true" t="shared" si="3" ref="G34:O34">SUM(G13:G33)</f>
        <v>1161.193887540588</v>
      </c>
      <c r="H34" s="198">
        <f t="shared" si="3"/>
        <v>1161.193887540588</v>
      </c>
      <c r="I34" s="198">
        <f t="shared" si="3"/>
        <v>0</v>
      </c>
      <c r="J34" s="198">
        <f t="shared" si="3"/>
        <v>0</v>
      </c>
      <c r="K34" s="198">
        <f t="shared" si="3"/>
        <v>1161.1938875405879</v>
      </c>
      <c r="L34" s="198">
        <f t="shared" si="3"/>
        <v>514.2096017113888</v>
      </c>
      <c r="M34" s="198">
        <f t="shared" si="3"/>
        <v>481.90358517927626</v>
      </c>
      <c r="N34" s="198">
        <f t="shared" si="3"/>
        <v>165.08070064992268</v>
      </c>
      <c r="O34" s="199">
        <f t="shared" si="3"/>
        <v>1161.1938875405879</v>
      </c>
      <c r="P34" s="1"/>
      <c r="Q34" s="183"/>
      <c r="R34" s="109"/>
      <c r="S34" s="109"/>
      <c r="T34" s="40"/>
    </row>
    <row r="35" spans="1:15" ht="24" customHeight="1">
      <c r="A35" s="116"/>
      <c r="B35" s="117"/>
      <c r="C35" s="18"/>
      <c r="D35" s="18"/>
      <c r="E35" s="18"/>
      <c r="F35" s="62"/>
      <c r="G35" s="62"/>
      <c r="H35" s="62"/>
      <c r="I35" s="45"/>
      <c r="J35" s="45"/>
      <c r="K35" s="45"/>
      <c r="L35" s="45"/>
      <c r="M35" s="45"/>
      <c r="N35" s="45"/>
      <c r="O35" s="45"/>
    </row>
    <row r="36" spans="1:29" ht="20.2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</row>
    <row r="37" spans="1:15" ht="15.75">
      <c r="A37" s="116"/>
      <c r="B37" s="117"/>
      <c r="C37" s="18"/>
      <c r="D37" s="18"/>
      <c r="E37" s="18"/>
      <c r="F37" s="18"/>
      <c r="G37" s="18"/>
      <c r="H37" s="18"/>
      <c r="I37" s="18"/>
      <c r="J37" s="18"/>
      <c r="K37" s="18"/>
      <c r="L37" s="66"/>
      <c r="M37" s="66"/>
      <c r="N37" s="66"/>
      <c r="O37" s="18"/>
    </row>
    <row r="38" spans="1:15" ht="15.75">
      <c r="A38" s="116"/>
      <c r="B38" s="117"/>
      <c r="C38" s="18"/>
      <c r="D38" s="18"/>
      <c r="E38" s="18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  <row r="39" spans="1:15" ht="15.75">
      <c r="A39" s="116"/>
      <c r="B39" s="117"/>
      <c r="C39" s="18"/>
      <c r="D39" s="18"/>
      <c r="E39" s="18"/>
      <c r="F39" s="110"/>
      <c r="G39" s="110"/>
      <c r="H39" s="18"/>
      <c r="I39" s="18"/>
      <c r="J39" s="18"/>
      <c r="K39" s="18"/>
      <c r="L39" s="118"/>
      <c r="M39" s="113"/>
      <c r="N39" s="113"/>
      <c r="O39" s="66"/>
    </row>
    <row r="40" spans="1:15" ht="15.75">
      <c r="A40" s="116"/>
      <c r="B40" s="1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16"/>
      <c r="B41" s="1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6"/>
      <c r="B42" s="1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116"/>
      <c r="B43" s="1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116"/>
      <c r="B44" s="1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16"/>
      <c r="B45" s="1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16"/>
      <c r="B46" s="1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16"/>
      <c r="B47" s="1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16"/>
      <c r="B48" s="1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16"/>
      <c r="B49" s="1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16"/>
      <c r="B50" s="1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16"/>
      <c r="B51" s="1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16"/>
      <c r="B52" s="1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16"/>
      <c r="B53" s="1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16"/>
      <c r="B54" s="1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16"/>
      <c r="B55" s="1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16"/>
      <c r="B56" s="1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16"/>
      <c r="B57" s="1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16"/>
      <c r="B58" s="1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116"/>
      <c r="B59" s="1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116"/>
      <c r="B60" s="1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6"/>
      <c r="B61" s="1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116"/>
      <c r="B62" s="1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116"/>
      <c r="B63" s="1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116"/>
      <c r="B64" s="1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116"/>
      <c r="B65" s="1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>
      <c r="A66" s="116"/>
      <c r="B66" s="1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116"/>
      <c r="B67" s="1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116"/>
      <c r="B68" s="1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75">
      <c r="A69" s="116"/>
      <c r="B69" s="1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116"/>
      <c r="B70" s="1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116"/>
      <c r="B71" s="1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116"/>
      <c r="B72" s="1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116"/>
      <c r="B73" s="1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116"/>
      <c r="B74" s="1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116"/>
      <c r="B75" s="1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>
      <c r="A76" s="116"/>
      <c r="B76" s="1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>
      <c r="A77" s="116"/>
      <c r="B77" s="1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116"/>
      <c r="B78" s="1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116"/>
      <c r="B79" s="1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116"/>
      <c r="B80" s="1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.75">
      <c r="A81" s="116"/>
      <c r="B81" s="1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.75">
      <c r="A82" s="116"/>
      <c r="B82" s="1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.75">
      <c r="A83" s="116"/>
      <c r="B83" s="1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5" spans="1:15" ht="17.2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</row>
  </sheetData>
  <sheetProtection/>
  <mergeCells count="19">
    <mergeCell ref="A85:O85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6:AC36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7 F29:H29 H30 H32 I33 H19:H28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C37"/>
  <sheetViews>
    <sheetView view="pageBreakPreview" zoomScale="62" zoomScaleNormal="62" zoomScaleSheetLayoutView="62" workbookViewId="0" topLeftCell="B1">
      <selection activeCell="V15" sqref="V15:Y36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10.00390625" style="1" customWidth="1" outlineLevel="1"/>
    <col min="9" max="9" width="7.75390625" style="1" customWidth="1" outlineLevel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9.625" style="1" customWidth="1"/>
    <col min="17" max="17" width="6.875" style="1" customWidth="1"/>
    <col min="18" max="18" width="9.25390625" style="1" customWidth="1"/>
    <col min="19" max="19" width="6.875" style="1" customWidth="1"/>
    <col min="20" max="20" width="10.125" style="1" customWidth="1"/>
    <col min="21" max="21" width="6.875" style="1" customWidth="1"/>
    <col min="22" max="31" width="5.75390625" style="1" customWidth="1"/>
    <col min="32" max="16384" width="9.125" style="1" customWidth="1"/>
  </cols>
  <sheetData>
    <row r="1" spans="1:21" ht="18.75">
      <c r="A1" s="15"/>
      <c r="B1" s="119"/>
      <c r="C1" s="119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48" t="s">
        <v>123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/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41" t="s">
        <v>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121"/>
      <c r="U4" s="121"/>
    </row>
    <row r="5" spans="1:21" ht="15.75">
      <c r="A5" s="242" t="s">
        <v>68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2"/>
      <c r="U5" s="22"/>
    </row>
    <row r="6" spans="1:21" ht="15.75">
      <c r="A6" s="15"/>
      <c r="B6" s="122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7"/>
      <c r="U6" s="17"/>
    </row>
    <row r="7" spans="1:22" ht="18.75">
      <c r="A7" s="226" t="str">
        <f>'прил.1'!A6</f>
        <v>ОП "КурскАтомЭнергоСбыт" АО "АтомЭнергоСбыт" 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3"/>
      <c r="U7" s="23"/>
      <c r="V7" s="103"/>
    </row>
    <row r="8" spans="1:22" ht="15.75">
      <c r="A8" s="222" t="s">
        <v>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121"/>
      <c r="U8" s="121"/>
      <c r="V8" s="104"/>
    </row>
    <row r="9" spans="1:21" ht="16.5" thickBo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123"/>
      <c r="U9" s="123"/>
    </row>
    <row r="10" spans="1:21" ht="51.75" customHeight="1">
      <c r="A10" s="244" t="s">
        <v>3</v>
      </c>
      <c r="B10" s="234" t="s">
        <v>69</v>
      </c>
      <c r="C10" s="234" t="s">
        <v>70</v>
      </c>
      <c r="D10" s="210" t="s">
        <v>71</v>
      </c>
      <c r="E10" s="210"/>
      <c r="F10" s="236" t="s">
        <v>122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</row>
    <row r="11" spans="1:21" ht="32.25" customHeight="1">
      <c r="A11" s="245"/>
      <c r="B11" s="231"/>
      <c r="C11" s="231"/>
      <c r="D11" s="211"/>
      <c r="E11" s="211"/>
      <c r="F11" s="232" t="s">
        <v>67</v>
      </c>
      <c r="G11" s="232"/>
      <c r="H11" s="231" t="s">
        <v>183</v>
      </c>
      <c r="I11" s="231"/>
      <c r="J11" s="231" t="s">
        <v>184</v>
      </c>
      <c r="K11" s="231"/>
      <c r="L11" s="231" t="s">
        <v>185</v>
      </c>
      <c r="M11" s="231"/>
      <c r="N11" s="231" t="s">
        <v>186</v>
      </c>
      <c r="O11" s="231"/>
      <c r="P11" s="232" t="s">
        <v>117</v>
      </c>
      <c r="Q11" s="232"/>
      <c r="R11" s="232" t="s">
        <v>182</v>
      </c>
      <c r="S11" s="232"/>
      <c r="T11" s="239" t="s">
        <v>72</v>
      </c>
      <c r="U11" s="240"/>
    </row>
    <row r="12" spans="1:21" ht="45" customHeight="1">
      <c r="A12" s="245"/>
      <c r="B12" s="232"/>
      <c r="C12" s="232"/>
      <c r="D12" s="232" t="s">
        <v>11</v>
      </c>
      <c r="E12" s="232"/>
      <c r="F12" s="231" t="s">
        <v>124</v>
      </c>
      <c r="G12" s="232"/>
      <c r="H12" s="231" t="s">
        <v>124</v>
      </c>
      <c r="I12" s="232"/>
      <c r="J12" s="231" t="s">
        <v>124</v>
      </c>
      <c r="K12" s="232"/>
      <c r="L12" s="231" t="s">
        <v>124</v>
      </c>
      <c r="M12" s="232"/>
      <c r="N12" s="231" t="s">
        <v>124</v>
      </c>
      <c r="O12" s="232"/>
      <c r="P12" s="231" t="s">
        <v>124</v>
      </c>
      <c r="Q12" s="232"/>
      <c r="R12" s="231" t="s">
        <v>124</v>
      </c>
      <c r="S12" s="232"/>
      <c r="T12" s="232" t="s">
        <v>11</v>
      </c>
      <c r="U12" s="233"/>
    </row>
    <row r="13" spans="1:21" ht="60.75" customHeight="1">
      <c r="A13" s="245"/>
      <c r="B13" s="246"/>
      <c r="C13" s="235"/>
      <c r="D13" s="7" t="s">
        <v>73</v>
      </c>
      <c r="E13" s="7" t="s">
        <v>74</v>
      </c>
      <c r="F13" s="7" t="s">
        <v>73</v>
      </c>
      <c r="G13" s="7" t="s">
        <v>74</v>
      </c>
      <c r="H13" s="7" t="s">
        <v>73</v>
      </c>
      <c r="I13" s="7" t="s">
        <v>74</v>
      </c>
      <c r="J13" s="7" t="s">
        <v>73</v>
      </c>
      <c r="K13" s="7" t="s">
        <v>74</v>
      </c>
      <c r="L13" s="7" t="s">
        <v>73</v>
      </c>
      <c r="M13" s="7" t="s">
        <v>74</v>
      </c>
      <c r="N13" s="7" t="s">
        <v>73</v>
      </c>
      <c r="O13" s="7" t="s">
        <v>74</v>
      </c>
      <c r="P13" s="7" t="s">
        <v>73</v>
      </c>
      <c r="Q13" s="7" t="s">
        <v>74</v>
      </c>
      <c r="R13" s="7" t="s">
        <v>73</v>
      </c>
      <c r="S13" s="7" t="s">
        <v>74</v>
      </c>
      <c r="T13" s="7" t="s">
        <v>73</v>
      </c>
      <c r="U13" s="76" t="s">
        <v>74</v>
      </c>
    </row>
    <row r="14" spans="1:21" ht="15.75">
      <c r="A14" s="67">
        <v>1</v>
      </c>
      <c r="B14" s="31">
        <v>2</v>
      </c>
      <c r="C14" s="31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32">
        <v>19</v>
      </c>
      <c r="T14" s="31">
        <v>20</v>
      </c>
      <c r="U14" s="108">
        <v>21</v>
      </c>
    </row>
    <row r="15" spans="1:21" ht="15.75">
      <c r="A15" s="74" t="str">
        <f>'прил.1'!A13</f>
        <v>1.</v>
      </c>
      <c r="B15" s="43" t="s">
        <v>108</v>
      </c>
      <c r="C15" s="36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7"/>
    </row>
    <row r="16" spans="1:21" ht="15.75">
      <c r="A16" s="70" t="str">
        <f>'прил.1'!A14</f>
        <v>1.1.</v>
      </c>
      <c r="B16" s="38" t="str">
        <f>'прил.1'!B14</f>
        <v>Установка шлагбаумов: г.Курск, ул. Энгельса, д.134 </v>
      </c>
      <c r="C16" s="39" t="str">
        <f>'прил.1'!C14</f>
        <v>K_L01</v>
      </c>
      <c r="D16" s="47">
        <f>T16</f>
        <v>2</v>
      </c>
      <c r="E16" s="6"/>
      <c r="F16" s="6">
        <f>H16+J16+L16+N16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Q16" s="6"/>
      <c r="R16" s="6"/>
      <c r="S16" s="6"/>
      <c r="T16" s="6">
        <f>R16+P16+F16</f>
        <v>2</v>
      </c>
      <c r="U16" s="77"/>
    </row>
    <row r="17" spans="1:21" ht="15.75">
      <c r="A17" s="70" t="str">
        <f>'прил.1'!A15</f>
        <v>1.2.</v>
      </c>
      <c r="B17" s="135" t="str">
        <f>'прил.1'!B15</f>
        <v>Модернизация системы контроля и управления доступом: г. Курск, ул. Энгельса, д. 134</v>
      </c>
      <c r="C17" s="142" t="str">
        <f>'прил.1'!C15</f>
        <v>K_L02</v>
      </c>
      <c r="D17" s="47">
        <f>T17</f>
        <v>1</v>
      </c>
      <c r="E17" s="6"/>
      <c r="F17" s="6">
        <f>H17+J17+L17+N17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/>
      <c r="S17" s="6"/>
      <c r="T17" s="6">
        <f>R17+P17+F17</f>
        <v>1</v>
      </c>
      <c r="U17" s="77"/>
    </row>
    <row r="18" spans="1:21" ht="15.75">
      <c r="A18" s="70" t="str">
        <f>'прил.1'!A16</f>
        <v>1.3.</v>
      </c>
      <c r="B18" s="135" t="str">
        <f>'прил.1'!B16</f>
        <v>Система видеонаблюдения: г. Курск, ул. Энгельса, д. 134</v>
      </c>
      <c r="C18" s="142" t="str">
        <f>'прил.1'!C16</f>
        <v>K_L03</v>
      </c>
      <c r="D18" s="47">
        <f>T18</f>
        <v>1</v>
      </c>
      <c r="E18" s="6"/>
      <c r="F18" s="6">
        <f>H18+J18+L18+N18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>
        <f>R18+P18+F18</f>
        <v>1</v>
      </c>
      <c r="U18" s="77"/>
    </row>
    <row r="19" spans="1:21" ht="15.75">
      <c r="A19" s="70" t="str">
        <f>'прил.1'!A17</f>
        <v>1.4.</v>
      </c>
      <c r="B19" s="135" t="str">
        <f>'прил.1'!B17</f>
        <v>Охранно-пожарная сигнализация в участке </v>
      </c>
      <c r="C19" s="142" t="str">
        <f>'прил.1'!C17</f>
        <v>K_L04</v>
      </c>
      <c r="D19" s="47">
        <f>T19</f>
        <v>12</v>
      </c>
      <c r="E19" s="6"/>
      <c r="F19" s="6">
        <f>H19+J19+L19+N19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>
        <v>8</v>
      </c>
      <c r="Q19" s="6"/>
      <c r="R19" s="6">
        <v>4</v>
      </c>
      <c r="S19" s="6"/>
      <c r="T19" s="6">
        <f>R19+P19+F19</f>
        <v>12</v>
      </c>
      <c r="U19" s="77"/>
    </row>
    <row r="20" spans="1:21" ht="15.75">
      <c r="A20" s="74" t="str">
        <f>'прил.1'!A18</f>
        <v>2.</v>
      </c>
      <c r="B20" s="145" t="s">
        <v>109</v>
      </c>
      <c r="C20" s="134"/>
      <c r="D20" s="4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7"/>
    </row>
    <row r="21" spans="1:21" ht="15.75">
      <c r="A21" s="70" t="str">
        <f>'прил.1'!A19</f>
        <v>2.1.</v>
      </c>
      <c r="B21" s="38" t="str">
        <f>'прил.1'!B19</f>
        <v>Коммутатор Cisco</v>
      </c>
      <c r="C21" s="39" t="str">
        <f>'прил.1'!C19</f>
        <v>K_L05</v>
      </c>
      <c r="D21" s="47">
        <f aca="true" t="shared" si="0" ref="D21:D32">T21</f>
        <v>123</v>
      </c>
      <c r="E21" s="6"/>
      <c r="F21" s="6">
        <f>H21+J21+L21+N21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>
        <v>123</v>
      </c>
      <c r="Q21" s="6"/>
      <c r="R21" s="6">
        <v>0</v>
      </c>
      <c r="S21" s="6"/>
      <c r="T21" s="47">
        <f aca="true" t="shared" si="1" ref="T21:T30">R21+P21+F21</f>
        <v>123</v>
      </c>
      <c r="U21" s="77"/>
    </row>
    <row r="22" spans="1:21" ht="15.75">
      <c r="A22" s="70" t="str">
        <f>'прил.1'!A20</f>
        <v>2.2.</v>
      </c>
      <c r="B22" s="38" t="str">
        <f>'прил.1'!B20</f>
        <v>Приобретение оргтехники</v>
      </c>
      <c r="C22" s="39" t="str">
        <f>'прил.1'!C20</f>
        <v>K_L06</v>
      </c>
      <c r="D22" s="47">
        <f t="shared" si="0"/>
        <v>202</v>
      </c>
      <c r="E22" s="6"/>
      <c r="F22" s="6">
        <f>H22+J22+L22+N22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v>0</v>
      </c>
      <c r="Q22" s="6"/>
      <c r="R22" s="6">
        <v>202</v>
      </c>
      <c r="S22" s="6"/>
      <c r="T22" s="47">
        <f t="shared" si="1"/>
        <v>202</v>
      </c>
      <c r="U22" s="77"/>
    </row>
    <row r="23" spans="1:21" ht="15.75">
      <c r="A23" s="70" t="str">
        <f>'прил.1'!A21</f>
        <v>2.3.</v>
      </c>
      <c r="B23" s="38" t="str">
        <f>'прил.1'!B21</f>
        <v>Система хранения данных (СХД) Lenovo Storage V3700 V2 SFF Control Enclosure (6535C2D)</v>
      </c>
      <c r="C23" s="39" t="str">
        <f>'прил.1'!C21</f>
        <v>K_L07</v>
      </c>
      <c r="D23" s="47">
        <f t="shared" si="0"/>
        <v>2</v>
      </c>
      <c r="E23" s="6"/>
      <c r="F23" s="6">
        <f>H23+J23+L23+N23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>
        <v>2</v>
      </c>
      <c r="Q23" s="6"/>
      <c r="R23" s="6"/>
      <c r="S23" s="6"/>
      <c r="T23" s="47">
        <f t="shared" si="1"/>
        <v>2</v>
      </c>
      <c r="U23" s="77"/>
    </row>
    <row r="24" spans="1:21" ht="15.75">
      <c r="A24" s="70" t="str">
        <f>'прил.1'!A22</f>
        <v>2.4.</v>
      </c>
      <c r="B24" s="38" t="str">
        <f>'прил.1'!B22</f>
        <v>ИБП APC SRC2KI Smart-UPS RC 2000VA 1600W</v>
      </c>
      <c r="C24" s="39" t="str">
        <f>'прил.1'!C22</f>
        <v>K_01</v>
      </c>
      <c r="D24" s="47">
        <f t="shared" si="0"/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12</v>
      </c>
      <c r="Q24" s="6"/>
      <c r="R24" s="6"/>
      <c r="S24" s="6"/>
      <c r="T24" s="6">
        <f t="shared" si="1"/>
        <v>12</v>
      </c>
      <c r="U24" s="77"/>
    </row>
    <row r="25" spans="1:21" ht="15.75">
      <c r="A25" s="70" t="str">
        <f>'прил.1'!A23</f>
        <v>2.5.</v>
      </c>
      <c r="B25" s="38" t="str">
        <f>'прил.1'!B23</f>
        <v>Ленточная библиотека HPE STOREEVER MSL2024 LTO-7 15000 SAS (P9G69A</v>
      </c>
      <c r="C25" s="39" t="str">
        <f>'прил.1'!C23</f>
        <v>K_02</v>
      </c>
      <c r="D25" s="47">
        <f t="shared" si="0"/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>
        <f t="shared" si="1"/>
        <v>1</v>
      </c>
      <c r="U25" s="77"/>
    </row>
    <row r="26" spans="1:21" ht="31.5">
      <c r="A26" s="160" t="str">
        <f>'прил.1'!A24</f>
        <v>2.6.</v>
      </c>
      <c r="B26" s="164" t="str">
        <f>'прил.1'!B24</f>
        <v>Система хранения данных (СХД) HPE MSA 1050 8Gb Fibre Channel Dual Controller SFF Storage (Q2R19A)</v>
      </c>
      <c r="C26" s="165" t="str">
        <f>'прил.1'!C24</f>
        <v>K_03</v>
      </c>
      <c r="D26" s="200">
        <f t="shared" si="0"/>
        <v>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4</v>
      </c>
      <c r="Q26" s="6"/>
      <c r="R26" s="6"/>
      <c r="S26" s="6"/>
      <c r="T26" s="6">
        <f t="shared" si="1"/>
        <v>4</v>
      </c>
      <c r="U26" s="77"/>
    </row>
    <row r="27" spans="1:21" ht="15.75">
      <c r="A27" s="160" t="str">
        <f>'прил.1'!A25</f>
        <v>2.7.</v>
      </c>
      <c r="B27" s="164" t="str">
        <f>'прил.1'!B25</f>
        <v>МФУ HP LaserJet Enterprise 700 M725dn (CF066A)</v>
      </c>
      <c r="C27" s="165" t="str">
        <f>'прил.1'!C25</f>
        <v>K_04</v>
      </c>
      <c r="D27" s="200">
        <f>T27</f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</v>
      </c>
      <c r="S27" s="6"/>
      <c r="T27" s="6">
        <f t="shared" si="1"/>
        <v>1</v>
      </c>
      <c r="U27" s="77"/>
    </row>
    <row r="28" spans="1:21" ht="15.75">
      <c r="A28" s="160" t="str">
        <f>'прил.1'!A26</f>
        <v>2.8.</v>
      </c>
      <c r="B28" s="164" t="str">
        <f>'прил.1'!B26</f>
        <v>Маршрутизатор Cisco ISR4431/K9</v>
      </c>
      <c r="C28" s="165" t="str">
        <f>'прил.1'!C26</f>
        <v>K_05</v>
      </c>
      <c r="D28" s="200">
        <f>T28</f>
        <v>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</v>
      </c>
      <c r="S28" s="6"/>
      <c r="T28" s="6">
        <f t="shared" si="1"/>
        <v>1</v>
      </c>
      <c r="U28" s="77"/>
    </row>
    <row r="29" spans="1:21" ht="15.75">
      <c r="A29" s="160" t="str">
        <f>'прил.1'!A27</f>
        <v>2.9.</v>
      </c>
      <c r="B29" s="164" t="str">
        <f>'прил.1'!B27</f>
        <v>Моноблок HP ProOne 440 G3 (1KN99EA)</v>
      </c>
      <c r="C29" s="165" t="str">
        <f>'прил.1'!C27</f>
        <v>K_06</v>
      </c>
      <c r="D29" s="200">
        <f>T29</f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</v>
      </c>
      <c r="S29" s="6"/>
      <c r="T29" s="6">
        <f t="shared" si="1"/>
        <v>1</v>
      </c>
      <c r="U29" s="77"/>
    </row>
    <row r="30" spans="1:21" ht="15.75">
      <c r="A30" s="70" t="str">
        <f>'прил.1'!A28</f>
        <v>2.10.</v>
      </c>
      <c r="B30" s="38" t="str">
        <f>'прил.1'!B28</f>
        <v>PowerEdge R740XD Server</v>
      </c>
      <c r="C30" s="39" t="str">
        <f>'прил.1'!C28</f>
        <v>K_07</v>
      </c>
      <c r="D30" s="47">
        <f>T30</f>
        <v>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</v>
      </c>
      <c r="S30" s="6"/>
      <c r="T30" s="6">
        <f t="shared" si="1"/>
        <v>1</v>
      </c>
      <c r="U30" s="77"/>
    </row>
    <row r="31" spans="1:21" ht="15.75">
      <c r="A31" s="69" t="str">
        <f>'прил.1'!A29</f>
        <v>3.</v>
      </c>
      <c r="B31" s="43" t="str">
        <f>'прил.1'!B29</f>
        <v>Оснащение интеллектуальной системой учета</v>
      </c>
      <c r="C31" s="150"/>
      <c r="D31" s="47"/>
      <c r="E31" s="6"/>
      <c r="F31" s="4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7"/>
    </row>
    <row r="32" spans="1:21" ht="15.75">
      <c r="A32" s="70" t="str">
        <f>'прил.1'!A30</f>
        <v>3.1.</v>
      </c>
      <c r="B32" s="38" t="str">
        <f>'прил.1'!B30</f>
        <v>Оборудование многоквартирных жилых домов интеллектуальной системой учета </v>
      </c>
      <c r="C32" s="39" t="str">
        <f>'прил.1'!C30</f>
        <v>K_L15</v>
      </c>
      <c r="D32" s="47">
        <f t="shared" si="0"/>
        <v>179651</v>
      </c>
      <c r="E32" s="47"/>
      <c r="F32" s="6">
        <f>H32+J32+L32+N32</f>
        <v>65057</v>
      </c>
      <c r="G32" s="47"/>
      <c r="H32" s="47">
        <f>65057/4</f>
        <v>16264.25</v>
      </c>
      <c r="I32" s="47"/>
      <c r="J32" s="47">
        <f>65057/4</f>
        <v>16264.25</v>
      </c>
      <c r="K32" s="47"/>
      <c r="L32" s="47">
        <f>65057/4</f>
        <v>16264.25</v>
      </c>
      <c r="M32" s="47"/>
      <c r="N32" s="47">
        <f>65057/4</f>
        <v>16264.25</v>
      </c>
      <c r="O32" s="47"/>
      <c r="P32" s="47">
        <v>63642</v>
      </c>
      <c r="Q32" s="47"/>
      <c r="R32" s="47">
        <v>50952</v>
      </c>
      <c r="S32" s="47"/>
      <c r="T32" s="47">
        <f>R32+P32+F32</f>
        <v>179651</v>
      </c>
      <c r="U32" s="77"/>
    </row>
    <row r="33" spans="1:21" ht="15.75">
      <c r="A33" s="74" t="str">
        <f>'прил.1'!A31</f>
        <v>4.</v>
      </c>
      <c r="B33" s="43" t="s">
        <v>90</v>
      </c>
      <c r="C33" s="39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77"/>
    </row>
    <row r="34" spans="1:21" ht="15.75">
      <c r="A34" s="70" t="str">
        <f>'прил.1'!A32</f>
        <v>4.1.</v>
      </c>
      <c r="B34" s="38" t="str">
        <f>'прил.1'!B32</f>
        <v>Омниканальная платформа (CRM)</v>
      </c>
      <c r="C34" s="39" t="str">
        <f>'прил.1'!C32</f>
        <v>K_08</v>
      </c>
      <c r="D34" s="47">
        <f>T34</f>
        <v>2</v>
      </c>
      <c r="E34" s="6"/>
      <c r="F34" s="6">
        <f>H34+J34+L34+N34</f>
        <v>1</v>
      </c>
      <c r="G34" s="6"/>
      <c r="H34" s="6"/>
      <c r="I34" s="6"/>
      <c r="J34" s="6"/>
      <c r="K34" s="6"/>
      <c r="L34" s="6"/>
      <c r="M34" s="6"/>
      <c r="N34" s="6">
        <v>1</v>
      </c>
      <c r="O34" s="6"/>
      <c r="P34" s="6">
        <v>1</v>
      </c>
      <c r="Q34" s="6"/>
      <c r="R34" s="6"/>
      <c r="S34" s="6"/>
      <c r="T34" s="6">
        <f>R34+P34+F34</f>
        <v>2</v>
      </c>
      <c r="U34" s="77"/>
    </row>
    <row r="35" spans="1:21" ht="16.5" thickBot="1">
      <c r="A35" s="127" t="str">
        <f>'прил.1'!A33</f>
        <v>4.2.</v>
      </c>
      <c r="B35" s="166" t="str">
        <f>'прил.1'!B33</f>
        <v>Интеграционная шина </v>
      </c>
      <c r="C35" s="167" t="str">
        <f>'прил.1'!C33</f>
        <v>K_09</v>
      </c>
      <c r="D35" s="168">
        <f>T35</f>
        <v>3</v>
      </c>
      <c r="E35" s="169"/>
      <c r="F35" s="169">
        <f>H35+J35+L35+N35</f>
        <v>1</v>
      </c>
      <c r="G35" s="169"/>
      <c r="H35" s="169"/>
      <c r="I35" s="169"/>
      <c r="J35" s="169"/>
      <c r="K35" s="169"/>
      <c r="L35" s="169"/>
      <c r="M35" s="169"/>
      <c r="N35" s="169">
        <v>1</v>
      </c>
      <c r="O35" s="169"/>
      <c r="P35" s="169">
        <v>1</v>
      </c>
      <c r="Q35" s="169"/>
      <c r="R35" s="169">
        <v>1</v>
      </c>
      <c r="S35" s="169"/>
      <c r="T35" s="169">
        <f>R35+P35+F35</f>
        <v>3</v>
      </c>
      <c r="U35" s="170"/>
    </row>
    <row r="36" ht="16.5" customHeight="1"/>
    <row r="37" spans="1:29" ht="20.2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</row>
  </sheetData>
  <sheetProtection/>
  <mergeCells count="28">
    <mergeCell ref="A4:S4"/>
    <mergeCell ref="A5:S5"/>
    <mergeCell ref="A7:S7"/>
    <mergeCell ref="A8:S8"/>
    <mergeCell ref="A9:S9"/>
    <mergeCell ref="R12:S12"/>
    <mergeCell ref="N11:O11"/>
    <mergeCell ref="R11:S11"/>
    <mergeCell ref="A10:A13"/>
    <mergeCell ref="B10:B13"/>
    <mergeCell ref="C10:C13"/>
    <mergeCell ref="D10:E11"/>
    <mergeCell ref="F10:U10"/>
    <mergeCell ref="T11:U11"/>
    <mergeCell ref="F11:G11"/>
    <mergeCell ref="P12:Q12"/>
    <mergeCell ref="D12:E12"/>
    <mergeCell ref="F12:G12"/>
    <mergeCell ref="A37:AC37"/>
    <mergeCell ref="N12:O12"/>
    <mergeCell ref="L11:M11"/>
    <mergeCell ref="L12:M12"/>
    <mergeCell ref="J11:K11"/>
    <mergeCell ref="J12:K12"/>
    <mergeCell ref="H11:I11"/>
    <mergeCell ref="H12:I12"/>
    <mergeCell ref="T12:U12"/>
    <mergeCell ref="P11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15:P19 F15:F19 N15:N19 L15:L19 J15:J19 H15:H19 N32:O32 R15:R19 N21:N31 F21:F35 H21:H35 J21:J35 R21:R35 L21:L35 N33:N35 P21:P26 P31:P35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view="pageBreakPreview" zoomScale="55" zoomScaleNormal="62" zoomScaleSheetLayoutView="55" zoomScalePageLayoutView="0" workbookViewId="0" topLeftCell="A1">
      <selection activeCell="B10" sqref="B10:B14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6" width="17.25390625" style="1" customWidth="1"/>
    <col min="7" max="7" width="17.25390625" style="1" customWidth="1" outlineLevel="1"/>
    <col min="8" max="8" width="13.00390625" style="1" customWidth="1" outlineLevel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2.625" style="1" customWidth="1" outlineLevel="1"/>
    <col min="13" max="13" width="17.25390625" style="1" customWidth="1" outlineLevel="1"/>
    <col min="14" max="14" width="12.625" style="1" customWidth="1" outlineLevel="1"/>
    <col min="15" max="20" width="17.25390625" style="1" customWidth="1"/>
    <col min="21" max="21" width="7.25390625" style="1" hidden="1" customWidth="1"/>
    <col min="22" max="22" width="4.25390625" style="1" hidden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48" t="s">
        <v>89</v>
      </c>
    </row>
    <row r="2" spans="17:20" ht="18.75">
      <c r="Q2" s="33"/>
      <c r="R2" s="33"/>
      <c r="S2" s="33"/>
      <c r="T2" s="3"/>
    </row>
    <row r="4" spans="1:18" ht="15.75">
      <c r="A4" s="241" t="s">
        <v>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120"/>
      <c r="R4" s="120"/>
    </row>
    <row r="5" spans="1:20" ht="15.75">
      <c r="A5" s="242" t="s">
        <v>177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226" t="str">
        <f>'прил.1'!A6</f>
        <v>ОП "КурскАтомЭнергоСбыт" АО "АтомЭнергоСбыт" 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111"/>
      <c r="R7" s="111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3" ht="15.75">
      <c r="A8" s="222" t="s">
        <v>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112"/>
      <c r="R8" s="112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1" ht="15.75" customHeight="1" thickBo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248" t="s">
        <v>3</v>
      </c>
      <c r="B10" s="253" t="s">
        <v>69</v>
      </c>
      <c r="C10" s="253" t="s">
        <v>70</v>
      </c>
      <c r="D10" s="234" t="s">
        <v>128</v>
      </c>
      <c r="E10" s="256" t="s">
        <v>127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7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20" ht="44.25" customHeight="1">
      <c r="A11" s="249"/>
      <c r="B11" s="254"/>
      <c r="C11" s="254"/>
      <c r="D11" s="231"/>
      <c r="E11" s="232" t="s">
        <v>67</v>
      </c>
      <c r="F11" s="232"/>
      <c r="G11" s="232" t="s">
        <v>187</v>
      </c>
      <c r="H11" s="232"/>
      <c r="I11" s="232" t="s">
        <v>188</v>
      </c>
      <c r="J11" s="232"/>
      <c r="K11" s="232" t="s">
        <v>189</v>
      </c>
      <c r="L11" s="232"/>
      <c r="M11" s="232" t="s">
        <v>190</v>
      </c>
      <c r="N11" s="232"/>
      <c r="O11" s="232" t="s">
        <v>117</v>
      </c>
      <c r="P11" s="232"/>
      <c r="Q11" s="232" t="s">
        <v>182</v>
      </c>
      <c r="R11" s="232"/>
      <c r="S11" s="231" t="s">
        <v>72</v>
      </c>
      <c r="T11" s="251"/>
    </row>
    <row r="12" spans="1:20" ht="69.75" customHeight="1">
      <c r="A12" s="249"/>
      <c r="B12" s="254"/>
      <c r="C12" s="254"/>
      <c r="D12" s="231"/>
      <c r="E12" s="232" t="s">
        <v>11</v>
      </c>
      <c r="F12" s="232"/>
      <c r="G12" s="232" t="s">
        <v>11</v>
      </c>
      <c r="H12" s="232"/>
      <c r="I12" s="232" t="s">
        <v>11</v>
      </c>
      <c r="J12" s="232"/>
      <c r="K12" s="232" t="s">
        <v>11</v>
      </c>
      <c r="L12" s="232"/>
      <c r="M12" s="232" t="s">
        <v>11</v>
      </c>
      <c r="N12" s="232"/>
      <c r="O12" s="232" t="s">
        <v>11</v>
      </c>
      <c r="P12" s="232"/>
      <c r="Q12" s="232" t="s">
        <v>11</v>
      </c>
      <c r="R12" s="232"/>
      <c r="S12" s="232" t="s">
        <v>11</v>
      </c>
      <c r="T12" s="233"/>
    </row>
    <row r="13" spans="1:20" ht="37.5" customHeight="1">
      <c r="A13" s="249"/>
      <c r="B13" s="254"/>
      <c r="C13" s="254"/>
      <c r="D13" s="231" t="s">
        <v>13</v>
      </c>
      <c r="E13" s="124" t="s">
        <v>75</v>
      </c>
      <c r="F13" s="124" t="s">
        <v>125</v>
      </c>
      <c r="G13" s="124" t="s">
        <v>75</v>
      </c>
      <c r="H13" s="124" t="s">
        <v>125</v>
      </c>
      <c r="I13" s="124" t="s">
        <v>75</v>
      </c>
      <c r="J13" s="124" t="s">
        <v>125</v>
      </c>
      <c r="K13" s="124" t="s">
        <v>75</v>
      </c>
      <c r="L13" s="124" t="s">
        <v>125</v>
      </c>
      <c r="M13" s="124" t="s">
        <v>75</v>
      </c>
      <c r="N13" s="124" t="s">
        <v>125</v>
      </c>
      <c r="O13" s="124" t="s">
        <v>75</v>
      </c>
      <c r="P13" s="124" t="s">
        <v>126</v>
      </c>
      <c r="Q13" s="124" t="s">
        <v>75</v>
      </c>
      <c r="R13" s="124" t="s">
        <v>126</v>
      </c>
      <c r="S13" s="124" t="s">
        <v>75</v>
      </c>
      <c r="T13" s="129" t="s">
        <v>125</v>
      </c>
    </row>
    <row r="14" spans="1:20" ht="66" customHeight="1">
      <c r="A14" s="250"/>
      <c r="B14" s="255"/>
      <c r="C14" s="255"/>
      <c r="D14" s="231"/>
      <c r="E14" s="7" t="s">
        <v>76</v>
      </c>
      <c r="F14" s="7" t="s">
        <v>76</v>
      </c>
      <c r="G14" s="7" t="s">
        <v>76</v>
      </c>
      <c r="H14" s="7" t="s">
        <v>76</v>
      </c>
      <c r="I14" s="7" t="s">
        <v>76</v>
      </c>
      <c r="J14" s="7" t="s">
        <v>76</v>
      </c>
      <c r="K14" s="7" t="s">
        <v>76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6" t="s">
        <v>76</v>
      </c>
    </row>
    <row r="15" spans="1:22" ht="15.75">
      <c r="A15" s="130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  <c r="H15" s="125">
        <v>8</v>
      </c>
      <c r="I15" s="125">
        <v>9</v>
      </c>
      <c r="J15" s="125">
        <v>10</v>
      </c>
      <c r="K15" s="125">
        <v>11</v>
      </c>
      <c r="L15" s="125">
        <v>12</v>
      </c>
      <c r="M15" s="125">
        <v>13</v>
      </c>
      <c r="N15" s="125">
        <v>14</v>
      </c>
      <c r="O15" s="125">
        <v>15</v>
      </c>
      <c r="P15" s="125">
        <v>16</v>
      </c>
      <c r="Q15" s="125">
        <v>17</v>
      </c>
      <c r="R15" s="125">
        <v>18</v>
      </c>
      <c r="S15" s="125">
        <v>19</v>
      </c>
      <c r="T15" s="126">
        <v>20</v>
      </c>
      <c r="U15" s="131">
        <v>21</v>
      </c>
      <c r="V15" s="125">
        <v>22</v>
      </c>
    </row>
    <row r="16" spans="1:22" ht="15.75">
      <c r="A16" s="74" t="str">
        <f>'прил.1'!A13</f>
        <v>1.</v>
      </c>
      <c r="B16" s="43" t="str">
        <f>'прил.1'!B13</f>
        <v>Приобретение имущества общего и специального назначения </v>
      </c>
      <c r="C16" s="36"/>
      <c r="D16" s="15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6"/>
      <c r="S16" s="42"/>
      <c r="T16" s="146"/>
      <c r="U16" s="64">
        <f>T16-R16-P16-F16</f>
        <v>0</v>
      </c>
      <c r="V16" s="64">
        <f>T16+S16-D16</f>
        <v>0</v>
      </c>
    </row>
    <row r="17" spans="1:22" ht="15.75">
      <c r="A17" s="70" t="str">
        <f>'прил.1'!A14</f>
        <v>1.1.</v>
      </c>
      <c r="B17" s="38" t="str">
        <f>'прил.1'!B14</f>
        <v>Установка шлагбаумов: г.Курск, ул. Энгельса, д.134 </v>
      </c>
      <c r="C17" s="39" t="str">
        <f>'прил.1'!C14</f>
        <v>K_L01</v>
      </c>
      <c r="D17" s="192">
        <f>'прил.2'!G14</f>
        <v>0.20280000000000004</v>
      </c>
      <c r="E17" s="192"/>
      <c r="F17" s="192">
        <f>'прил.2'!L14</f>
        <v>0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>
        <f>'прил.2'!M14</f>
        <v>0.2028</v>
      </c>
      <c r="Q17" s="192"/>
      <c r="R17" s="192">
        <f>'прил.2'!N14</f>
        <v>0</v>
      </c>
      <c r="S17" s="192">
        <f aca="true" t="shared" si="0" ref="S17:T19">Q17+O17+E17</f>
        <v>0</v>
      </c>
      <c r="T17" s="194">
        <f t="shared" si="0"/>
        <v>0.2028</v>
      </c>
      <c r="U17" s="64">
        <f>T17-R17-P17-F17</f>
        <v>0</v>
      </c>
      <c r="V17" s="64">
        <f>T17+S17-D17</f>
        <v>0</v>
      </c>
    </row>
    <row r="18" spans="1:22" ht="15.75">
      <c r="A18" s="70" t="str">
        <f>'прил.1'!A15</f>
        <v>1.2.</v>
      </c>
      <c r="B18" s="135" t="str">
        <f>'прил.1'!B15</f>
        <v>Модернизация системы контроля и управления доступом: г. Курск, ул. Энгельса, д. 134</v>
      </c>
      <c r="C18" s="142" t="str">
        <f>'прил.1'!C15</f>
        <v>K_L02</v>
      </c>
      <c r="D18" s="192">
        <f>'прил.2'!G15</f>
        <v>0.24960000000000002</v>
      </c>
      <c r="E18" s="192"/>
      <c r="F18" s="192">
        <f>'прил.2'!L15</f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>
        <f>'прил.2'!M15</f>
        <v>0.2496</v>
      </c>
      <c r="Q18" s="192"/>
      <c r="R18" s="192">
        <f>'прил.2'!N15</f>
        <v>0</v>
      </c>
      <c r="S18" s="192">
        <f t="shared" si="0"/>
        <v>0</v>
      </c>
      <c r="T18" s="194">
        <f t="shared" si="0"/>
        <v>0.2496</v>
      </c>
      <c r="U18" s="64"/>
      <c r="V18" s="64"/>
    </row>
    <row r="19" spans="1:22" ht="15.75">
      <c r="A19" s="70" t="str">
        <f>'прил.1'!A16</f>
        <v>1.3.</v>
      </c>
      <c r="B19" s="135" t="str">
        <f>'прил.1'!B16</f>
        <v>Система видеонаблюдения: г. Курск, ул. Энгельса, д. 134</v>
      </c>
      <c r="C19" s="142" t="str">
        <f>'прил.1'!C16</f>
        <v>K_L03</v>
      </c>
      <c r="D19" s="192">
        <f>'прил.2'!G16</f>
        <v>1.070784</v>
      </c>
      <c r="E19" s="192"/>
      <c r="F19" s="192">
        <f>'прил.2'!L16</f>
        <v>0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>
        <f>'прил.2'!M16</f>
        <v>0</v>
      </c>
      <c r="Q19" s="192"/>
      <c r="R19" s="192">
        <f>'прил.2'!N16</f>
        <v>1.070784</v>
      </c>
      <c r="S19" s="192">
        <f t="shared" si="0"/>
        <v>0</v>
      </c>
      <c r="T19" s="194">
        <f t="shared" si="0"/>
        <v>1.070784</v>
      </c>
      <c r="U19" s="64"/>
      <c r="V19" s="64"/>
    </row>
    <row r="20" spans="1:22" ht="15.75">
      <c r="A20" s="70" t="str">
        <f>'прил.1'!A17</f>
        <v>1.4.</v>
      </c>
      <c r="B20" s="135" t="str">
        <f>'прил.1'!B17</f>
        <v>Охранно-пожарная сигнализация в участке </v>
      </c>
      <c r="C20" s="142" t="str">
        <f>'прил.1'!C17</f>
        <v>K_L04</v>
      </c>
      <c r="D20" s="192">
        <f>'прил.2'!G17</f>
        <v>2.2979840000000005</v>
      </c>
      <c r="E20" s="192"/>
      <c r="F20" s="192">
        <f>'прил.2'!L17</f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>
        <f>'прил.2'!M17</f>
        <v>1.4976</v>
      </c>
      <c r="Q20" s="192"/>
      <c r="R20" s="192">
        <f>'прил.2'!N17</f>
        <v>0.800384</v>
      </c>
      <c r="S20" s="192">
        <f>Q20+O20+E20</f>
        <v>0</v>
      </c>
      <c r="T20" s="194">
        <f>R20+P20+F20</f>
        <v>2.297984</v>
      </c>
      <c r="U20" s="64"/>
      <c r="V20" s="64"/>
    </row>
    <row r="21" spans="1:22" ht="15.75">
      <c r="A21" s="74" t="str">
        <f>'прил.1'!A18</f>
        <v>2.</v>
      </c>
      <c r="B21" s="43" t="str">
        <f>'прил.1'!B18</f>
        <v>Приобретение ИТ-имущества </v>
      </c>
      <c r="C21" s="134"/>
      <c r="D21" s="192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3"/>
      <c r="U21" s="64"/>
      <c r="V21" s="64"/>
    </row>
    <row r="22" spans="1:22" ht="15.75">
      <c r="A22" s="70" t="str">
        <f>'прил.2'!A19</f>
        <v>2.1.</v>
      </c>
      <c r="B22" s="38" t="str">
        <f>'прил.2'!B19</f>
        <v>Коммутатор Cisco</v>
      </c>
      <c r="C22" s="39" t="str">
        <f>'прил.2'!C19</f>
        <v>K_L05</v>
      </c>
      <c r="D22" s="192">
        <f>'прил.2'!G19</f>
        <v>5.859041625000001</v>
      </c>
      <c r="E22" s="192"/>
      <c r="F22" s="192">
        <f>'прил.2'!L19</f>
        <v>0</v>
      </c>
      <c r="G22" s="192"/>
      <c r="H22" s="192"/>
      <c r="I22" s="192"/>
      <c r="J22" s="192">
        <f>F22</f>
        <v>0</v>
      </c>
      <c r="K22" s="192"/>
      <c r="L22" s="192"/>
      <c r="M22" s="192"/>
      <c r="N22" s="192"/>
      <c r="O22" s="192"/>
      <c r="P22" s="192">
        <f>'прил.2'!M19</f>
        <v>5.859041625</v>
      </c>
      <c r="Q22" s="192"/>
      <c r="R22" s="192">
        <f>'прил.2'!N19</f>
        <v>0</v>
      </c>
      <c r="S22" s="192">
        <f aca="true" t="shared" si="1" ref="S22:S27">Q22+O22+E22</f>
        <v>0</v>
      </c>
      <c r="T22" s="194">
        <f aca="true" t="shared" si="2" ref="T22:T27">R22+P22+F22</f>
        <v>5.859041625</v>
      </c>
      <c r="U22" s="64">
        <f aca="true" t="shared" si="3" ref="U22:U31">T22-R22-P22-F22</f>
        <v>0</v>
      </c>
      <c r="V22" s="64">
        <f aca="true" t="shared" si="4" ref="V22:V31">T22+S22-D22</f>
        <v>0</v>
      </c>
    </row>
    <row r="23" spans="1:22" ht="15.75">
      <c r="A23" s="70" t="str">
        <f>'прил.2'!A20</f>
        <v>2.2.</v>
      </c>
      <c r="B23" s="38" t="str">
        <f>'прил.2'!B20</f>
        <v>Приобретение оргтехники</v>
      </c>
      <c r="C23" s="39" t="str">
        <f>'прил.2'!C20</f>
        <v>K_L06</v>
      </c>
      <c r="D23" s="192">
        <f>'прил.2'!G20</f>
        <v>13.663123710312835</v>
      </c>
      <c r="E23" s="192"/>
      <c r="F23" s="192">
        <f>'прил.2'!L20</f>
        <v>0</v>
      </c>
      <c r="G23" s="192"/>
      <c r="H23" s="192"/>
      <c r="I23" s="192"/>
      <c r="J23" s="192">
        <f>F23</f>
        <v>0</v>
      </c>
      <c r="K23" s="192"/>
      <c r="L23" s="192"/>
      <c r="M23" s="192"/>
      <c r="N23" s="192"/>
      <c r="O23" s="192"/>
      <c r="P23" s="192">
        <f>'прил.2'!M20</f>
        <v>0</v>
      </c>
      <c r="Q23" s="192"/>
      <c r="R23" s="192">
        <f>'прил.2'!N20</f>
        <v>13.663123710312833</v>
      </c>
      <c r="S23" s="192">
        <f t="shared" si="1"/>
        <v>0</v>
      </c>
      <c r="T23" s="194">
        <f t="shared" si="2"/>
        <v>13.663123710312833</v>
      </c>
      <c r="U23" s="64">
        <f t="shared" si="3"/>
        <v>0</v>
      </c>
      <c r="V23" s="64">
        <f t="shared" si="4"/>
        <v>0</v>
      </c>
    </row>
    <row r="24" spans="1:22" ht="15.75">
      <c r="A24" s="70" t="str">
        <f>'прил.2'!A21</f>
        <v>2.3.</v>
      </c>
      <c r="B24" s="38" t="str">
        <f>'прил.2'!B21</f>
        <v>Система хранения данных (СХД) Lenovo Storage V3700 V2 SFF Control Enclosure (6535C2D)</v>
      </c>
      <c r="C24" s="39" t="str">
        <f>'прил.2'!C21</f>
        <v>K_L07</v>
      </c>
      <c r="D24" s="192">
        <f>'прил.2'!G21</f>
        <v>6.186124325</v>
      </c>
      <c r="E24" s="192"/>
      <c r="F24" s="192">
        <f>'прил.2'!L21</f>
        <v>0</v>
      </c>
      <c r="G24" s="192"/>
      <c r="H24" s="192"/>
      <c r="I24" s="192"/>
      <c r="J24" s="192">
        <f>F24</f>
        <v>0</v>
      </c>
      <c r="K24" s="192"/>
      <c r="L24" s="192"/>
      <c r="M24" s="192"/>
      <c r="N24" s="192"/>
      <c r="O24" s="192"/>
      <c r="P24" s="192">
        <f>'прил.2'!M21</f>
        <v>6.186124325</v>
      </c>
      <c r="Q24" s="192"/>
      <c r="R24" s="192">
        <f>'прил.2'!N21</f>
        <v>0</v>
      </c>
      <c r="S24" s="192">
        <f t="shared" si="1"/>
        <v>0</v>
      </c>
      <c r="T24" s="194">
        <f t="shared" si="2"/>
        <v>6.186124325</v>
      </c>
      <c r="U24" s="64">
        <f t="shared" si="3"/>
        <v>0</v>
      </c>
      <c r="V24" s="64">
        <f t="shared" si="4"/>
        <v>0</v>
      </c>
    </row>
    <row r="25" spans="1:22" ht="15.75">
      <c r="A25" s="70" t="str">
        <f>'прил.2'!A22</f>
        <v>2.4.</v>
      </c>
      <c r="B25" s="38" t="str">
        <f>'прил.2'!B22</f>
        <v>ИБП APC SRC2KI Smart-UPS RC 2000VA 1600W</v>
      </c>
      <c r="C25" s="39" t="str">
        <f>'прил.2'!C22</f>
        <v>K_01</v>
      </c>
      <c r="D25" s="192">
        <f>'прил.2'!G22</f>
        <v>0.15825869996851202</v>
      </c>
      <c r="E25" s="192"/>
      <c r="F25" s="192">
        <f>'прил.2'!L22</f>
        <v>0</v>
      </c>
      <c r="G25" s="192"/>
      <c r="H25" s="192"/>
      <c r="I25" s="192"/>
      <c r="J25" s="192">
        <f>F25</f>
        <v>0</v>
      </c>
      <c r="K25" s="192"/>
      <c r="L25" s="192"/>
      <c r="M25" s="192"/>
      <c r="N25" s="192"/>
      <c r="O25" s="192"/>
      <c r="P25" s="192">
        <f>'прил.2'!M22</f>
        <v>0.158258699968512</v>
      </c>
      <c r="Q25" s="192"/>
      <c r="R25" s="192">
        <f>'прил.2'!N22</f>
        <v>0</v>
      </c>
      <c r="S25" s="192">
        <f t="shared" si="1"/>
        <v>0</v>
      </c>
      <c r="T25" s="194">
        <f t="shared" si="2"/>
        <v>0.158258699968512</v>
      </c>
      <c r="U25" s="64">
        <f t="shared" si="3"/>
        <v>0</v>
      </c>
      <c r="V25" s="64">
        <f t="shared" si="4"/>
        <v>0</v>
      </c>
    </row>
    <row r="26" spans="1:22" ht="15.75">
      <c r="A26" s="70" t="str">
        <f>'прил.2'!A23</f>
        <v>2.5.</v>
      </c>
      <c r="B26" s="38" t="str">
        <f>'прил.2'!B23</f>
        <v>Ленточная библиотека HPE STOREEVER MSL2024 LTO-7 15000 SAS (P9G69A</v>
      </c>
      <c r="C26" s="39" t="str">
        <f>'прил.2'!C23</f>
        <v>K_02</v>
      </c>
      <c r="D26" s="192">
        <f>'прил.2'!G23</f>
        <v>0.29022437060642137</v>
      </c>
      <c r="E26" s="192"/>
      <c r="F26" s="192">
        <f>'прил.2'!L23</f>
        <v>0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>
        <f>'прил.2'!M23</f>
        <v>0.2902243706064213</v>
      </c>
      <c r="Q26" s="192"/>
      <c r="R26" s="192">
        <f>'прил.2'!N23</f>
        <v>0</v>
      </c>
      <c r="S26" s="192">
        <f t="shared" si="1"/>
        <v>0</v>
      </c>
      <c r="T26" s="194">
        <f t="shared" si="2"/>
        <v>0.2902243706064213</v>
      </c>
      <c r="U26" s="64">
        <f t="shared" si="3"/>
        <v>0</v>
      </c>
      <c r="V26" s="64">
        <f t="shared" si="4"/>
        <v>0</v>
      </c>
    </row>
    <row r="27" spans="1:22" ht="31.5">
      <c r="A27" s="160" t="str">
        <f>'прил.2'!A24</f>
        <v>2.6.</v>
      </c>
      <c r="B27" s="164" t="str">
        <f>'прил.2'!B24</f>
        <v>Система хранения данных (СХД) HPE MSA 1050 8Gb Fibre Channel Dual Controller SFF Storage (Q2R19A)</v>
      </c>
      <c r="C27" s="165" t="str">
        <f>'прил.2'!C24</f>
        <v>K_03</v>
      </c>
      <c r="D27" s="192">
        <f>'прил.2'!G24</f>
        <v>0.9962677717346987</v>
      </c>
      <c r="E27" s="192"/>
      <c r="F27" s="192">
        <f>'прил.2'!L24</f>
        <v>0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>
        <f>'прил.2'!M24</f>
        <v>0.9962677717346986</v>
      </c>
      <c r="Q27" s="192"/>
      <c r="R27" s="192">
        <f>'прил.2'!N24</f>
        <v>0</v>
      </c>
      <c r="S27" s="192">
        <f t="shared" si="1"/>
        <v>0</v>
      </c>
      <c r="T27" s="194">
        <f t="shared" si="2"/>
        <v>0.9962677717346986</v>
      </c>
      <c r="U27" s="64">
        <f t="shared" si="3"/>
        <v>0</v>
      </c>
      <c r="V27" s="64">
        <f t="shared" si="4"/>
        <v>0</v>
      </c>
    </row>
    <row r="28" spans="1:22" ht="15.75">
      <c r="A28" s="160" t="str">
        <f>'прил.2'!A25</f>
        <v>2.7.</v>
      </c>
      <c r="B28" s="164" t="str">
        <f>'прил.2'!B25</f>
        <v>МФУ HP LaserJet Enterprise 700 M725dn (CF066A)</v>
      </c>
      <c r="C28" s="165" t="str">
        <f>'прил.2'!C25</f>
        <v>K_04</v>
      </c>
      <c r="D28" s="192">
        <f>'прил.2'!G25</f>
        <v>0.48806368573807457</v>
      </c>
      <c r="E28" s="192"/>
      <c r="F28" s="192">
        <f>'прил.2'!L25</f>
        <v>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>
        <f>'прил.2'!M25</f>
        <v>0</v>
      </c>
      <c r="Q28" s="192"/>
      <c r="R28" s="192">
        <f>'прил.2'!N25</f>
        <v>0.4880636857380745</v>
      </c>
      <c r="S28" s="192">
        <f aca="true" t="shared" si="5" ref="S28:T31">Q28+O28+E28</f>
        <v>0</v>
      </c>
      <c r="T28" s="194">
        <f t="shared" si="5"/>
        <v>0.4880636857380745</v>
      </c>
      <c r="U28" s="64"/>
      <c r="V28" s="64"/>
    </row>
    <row r="29" spans="1:22" ht="15.75">
      <c r="A29" s="160" t="str">
        <f>'прил.2'!A26</f>
        <v>2.8.</v>
      </c>
      <c r="B29" s="164" t="str">
        <f>'прил.2'!B26</f>
        <v>Маршрутизатор Cisco ISR4431/K9</v>
      </c>
      <c r="C29" s="165" t="str">
        <f>'прил.2'!C26</f>
        <v>K_05</v>
      </c>
      <c r="D29" s="192">
        <f>'прил.2'!G26</f>
        <v>0.3062126894046525</v>
      </c>
      <c r="E29" s="192"/>
      <c r="F29" s="192">
        <f>'прил.2'!L26</f>
        <v>0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>
        <f>'прил.2'!M26</f>
        <v>0</v>
      </c>
      <c r="Q29" s="192"/>
      <c r="R29" s="192">
        <f>'прил.2'!N26</f>
        <v>0.3062126894046525</v>
      </c>
      <c r="S29" s="192">
        <f t="shared" si="5"/>
        <v>0</v>
      </c>
      <c r="T29" s="194">
        <f t="shared" si="5"/>
        <v>0.3062126894046525</v>
      </c>
      <c r="U29" s="64"/>
      <c r="V29" s="64"/>
    </row>
    <row r="30" spans="1:22" ht="15.75">
      <c r="A30" s="160" t="str">
        <f>'прил.2'!A27</f>
        <v>2.9.</v>
      </c>
      <c r="B30" s="164" t="str">
        <f>'прил.2'!B27</f>
        <v>Моноблок HP ProOne 440 G3 (1KN99EA)</v>
      </c>
      <c r="C30" s="165" t="str">
        <f>'прил.2'!C27</f>
        <v>K_06</v>
      </c>
      <c r="D30" s="192">
        <f>'прил.2'!G27</f>
        <v>1.6544693926678886</v>
      </c>
      <c r="E30" s="192"/>
      <c r="F30" s="192">
        <f>'прил.2'!L27</f>
        <v>0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>
        <f>'прил.2'!M27</f>
        <v>0</v>
      </c>
      <c r="Q30" s="192"/>
      <c r="R30" s="192">
        <f>'прил.2'!N27</f>
        <v>1.6544693926678884</v>
      </c>
      <c r="S30" s="192">
        <f t="shared" si="5"/>
        <v>0</v>
      </c>
      <c r="T30" s="194">
        <f t="shared" si="5"/>
        <v>1.6544693926678884</v>
      </c>
      <c r="U30" s="64"/>
      <c r="V30" s="64"/>
    </row>
    <row r="31" spans="1:22" ht="15.75">
      <c r="A31" s="160" t="str">
        <f>'прил.2'!A28</f>
        <v>2.10.</v>
      </c>
      <c r="B31" s="164" t="str">
        <f>'прил.2'!B28</f>
        <v>PowerEdge R740XD Server</v>
      </c>
      <c r="C31" s="165" t="str">
        <f>'прил.2'!C28</f>
        <v>K_07</v>
      </c>
      <c r="D31" s="192">
        <f>'прил.2'!G28</f>
        <v>1.9991717935995434</v>
      </c>
      <c r="E31" s="192"/>
      <c r="F31" s="192">
        <f>'прил.2'!L28</f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>
        <f>'прил.2'!M28</f>
        <v>0</v>
      </c>
      <c r="Q31" s="192"/>
      <c r="R31" s="192">
        <f>'прил.2'!N28</f>
        <v>1.9991717935995434</v>
      </c>
      <c r="S31" s="192">
        <f t="shared" si="5"/>
        <v>0</v>
      </c>
      <c r="T31" s="194">
        <f t="shared" si="5"/>
        <v>1.9991717935995434</v>
      </c>
      <c r="U31" s="64">
        <f t="shared" si="3"/>
        <v>0</v>
      </c>
      <c r="V31" s="64">
        <f t="shared" si="4"/>
        <v>0</v>
      </c>
    </row>
    <row r="32" spans="1:22" ht="15.75">
      <c r="A32" s="69" t="str">
        <f>'прил.2'!A29</f>
        <v>3.</v>
      </c>
      <c r="B32" s="43" t="str">
        <f>'прил.2'!B29</f>
        <v>Оснащение интеллектуальной системой учета</v>
      </c>
      <c r="C32" s="150"/>
      <c r="D32" s="192"/>
      <c r="E32" s="192"/>
      <c r="F32" s="191"/>
      <c r="G32" s="192"/>
      <c r="H32" s="191"/>
      <c r="I32" s="192"/>
      <c r="J32" s="191"/>
      <c r="K32" s="192"/>
      <c r="L32" s="191"/>
      <c r="M32" s="192"/>
      <c r="N32" s="191"/>
      <c r="O32" s="192"/>
      <c r="P32" s="192"/>
      <c r="Q32" s="192"/>
      <c r="R32" s="192"/>
      <c r="S32" s="191"/>
      <c r="T32" s="193"/>
      <c r="U32" s="64">
        <f>T32-R32-P32-F32</f>
        <v>0</v>
      </c>
      <c r="V32" s="64">
        <f>T32+S32-D32</f>
        <v>0</v>
      </c>
    </row>
    <row r="33" spans="1:22" ht="15.75">
      <c r="A33" s="70" t="str">
        <f>'прил.1'!A30</f>
        <v>3.1.</v>
      </c>
      <c r="B33" s="38" t="str">
        <f>'прил.1'!B30</f>
        <v>Оборудование многоквартирных жилых домов интеллектуальной системой учета </v>
      </c>
      <c r="C33" s="39" t="str">
        <f>'прил.1'!C30</f>
        <v>K_L15</v>
      </c>
      <c r="D33" s="192">
        <f>'прил.2'!G30</f>
        <v>1113.6991982916668</v>
      </c>
      <c r="E33" s="192"/>
      <c r="F33" s="192">
        <f>'прил.2'!L30</f>
        <v>507.5765669333333</v>
      </c>
      <c r="G33" s="192"/>
      <c r="H33" s="192"/>
      <c r="I33" s="192"/>
      <c r="J33" s="192"/>
      <c r="K33" s="192"/>
      <c r="L33" s="192"/>
      <c r="M33" s="192"/>
      <c r="N33" s="192">
        <f>F33</f>
        <v>507.5765669333333</v>
      </c>
      <c r="O33" s="192"/>
      <c r="P33" s="192">
        <f>'прил.2'!M30</f>
        <v>461.3270117916666</v>
      </c>
      <c r="Q33" s="192"/>
      <c r="R33" s="192">
        <f>'прил.2'!N30</f>
        <v>144.79561956666666</v>
      </c>
      <c r="S33" s="192">
        <f>Q33+O33+E33</f>
        <v>0</v>
      </c>
      <c r="T33" s="194">
        <f>R33+P33+F33</f>
        <v>1113.6991982916666</v>
      </c>
      <c r="U33" s="64">
        <f>T33-R33-P33-F33</f>
        <v>0</v>
      </c>
      <c r="V33" s="64">
        <f>T33+S33-D33</f>
        <v>0</v>
      </c>
    </row>
    <row r="34" spans="1:22" ht="15.75">
      <c r="A34" s="69" t="str">
        <f>'прил.2'!A31</f>
        <v>4.</v>
      </c>
      <c r="B34" s="43" t="str">
        <f>'прил.2'!B31</f>
        <v>Иные проекты</v>
      </c>
      <c r="C34" s="39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4"/>
      <c r="U34" s="64"/>
      <c r="V34" s="64"/>
    </row>
    <row r="35" spans="1:22" ht="15.75">
      <c r="A35" s="70" t="str">
        <f>'прил.1'!A32</f>
        <v>4.1.</v>
      </c>
      <c r="B35" s="38" t="str">
        <f>'прил.1'!B32</f>
        <v>Омниканальная платформа (CRM)</v>
      </c>
      <c r="C35" s="39" t="str">
        <f>'прил.1'!C32</f>
        <v>K_08</v>
      </c>
      <c r="D35" s="192">
        <f>'прил.2'!G32</f>
        <v>7.289480445000001</v>
      </c>
      <c r="E35" s="192"/>
      <c r="F35" s="192">
        <f>'прил.2'!L32</f>
        <v>3.6447402225000003</v>
      </c>
      <c r="G35" s="192"/>
      <c r="H35" s="192"/>
      <c r="I35" s="192"/>
      <c r="J35" s="192"/>
      <c r="K35" s="192"/>
      <c r="L35" s="192"/>
      <c r="M35" s="192"/>
      <c r="N35" s="192">
        <f>F35</f>
        <v>3.6447402225000003</v>
      </c>
      <c r="O35" s="192"/>
      <c r="P35" s="192">
        <f>'прил.2'!M32</f>
        <v>3.6447402225000003</v>
      </c>
      <c r="Q35" s="192"/>
      <c r="R35" s="192">
        <f>'прил.2'!N32</f>
        <v>0</v>
      </c>
      <c r="S35" s="192">
        <f>Q35+O35+E35</f>
        <v>0</v>
      </c>
      <c r="T35" s="194">
        <f>R35+P35+F35</f>
        <v>7.289480445000001</v>
      </c>
      <c r="U35" s="64"/>
      <c r="V35" s="64"/>
    </row>
    <row r="36" spans="1:22" ht="15.75">
      <c r="A36" s="70" t="str">
        <f>'прил.1'!A33</f>
        <v>4.2.</v>
      </c>
      <c r="B36" s="38" t="str">
        <f>'прил.1'!B33</f>
        <v>Интеграционная шина </v>
      </c>
      <c r="C36" s="39" t="str">
        <f>'прил.1'!C33</f>
        <v>K_09</v>
      </c>
      <c r="D36" s="192">
        <f>'прил.2'!G33</f>
        <v>4.783082739888586</v>
      </c>
      <c r="E36" s="192"/>
      <c r="F36" s="192">
        <f>'прил.2'!L33</f>
        <v>2.9882945555555613</v>
      </c>
      <c r="G36" s="192"/>
      <c r="H36" s="192"/>
      <c r="I36" s="192"/>
      <c r="J36" s="192"/>
      <c r="K36" s="192"/>
      <c r="L36" s="192"/>
      <c r="M36" s="192"/>
      <c r="N36" s="192">
        <f>F36</f>
        <v>2.9882945555555613</v>
      </c>
      <c r="O36" s="192"/>
      <c r="P36" s="192">
        <f>'прил.2'!M33</f>
        <v>1.4919163728</v>
      </c>
      <c r="Q36" s="192"/>
      <c r="R36" s="192">
        <f>'прил.2'!N33</f>
        <v>0.302871811533024</v>
      </c>
      <c r="S36" s="192">
        <f>Q36+O36+E36</f>
        <v>0</v>
      </c>
      <c r="T36" s="194">
        <f>R36+P36+F36</f>
        <v>4.783082739888585</v>
      </c>
      <c r="U36" s="64">
        <f>T36-R36-P36-F36</f>
        <v>0</v>
      </c>
      <c r="V36" s="64">
        <f>T36+S36-D36</f>
        <v>0</v>
      </c>
    </row>
    <row r="37" spans="1:22" s="35" customFormat="1" ht="16.5" thickBot="1">
      <c r="A37" s="72"/>
      <c r="B37" s="161" t="s">
        <v>176</v>
      </c>
      <c r="C37" s="167"/>
      <c r="D37" s="201">
        <f>SUM(D16:D36)</f>
        <v>1161.193887540588</v>
      </c>
      <c r="E37" s="201">
        <f aca="true" t="shared" si="6" ref="E37:T37">SUM(E16:E36)</f>
        <v>0</v>
      </c>
      <c r="F37" s="201">
        <f t="shared" si="6"/>
        <v>514.2096017113888</v>
      </c>
      <c r="G37" s="201">
        <f t="shared" si="6"/>
        <v>0</v>
      </c>
      <c r="H37" s="201">
        <f t="shared" si="6"/>
        <v>0</v>
      </c>
      <c r="I37" s="201">
        <f t="shared" si="6"/>
        <v>0</v>
      </c>
      <c r="J37" s="201">
        <f t="shared" si="6"/>
        <v>0</v>
      </c>
      <c r="K37" s="201">
        <f t="shared" si="6"/>
        <v>0</v>
      </c>
      <c r="L37" s="201">
        <f t="shared" si="6"/>
        <v>0</v>
      </c>
      <c r="M37" s="201">
        <f t="shared" si="6"/>
        <v>0</v>
      </c>
      <c r="N37" s="201">
        <f t="shared" si="6"/>
        <v>514.2096017113888</v>
      </c>
      <c r="O37" s="201">
        <f t="shared" si="6"/>
        <v>0</v>
      </c>
      <c r="P37" s="201">
        <f t="shared" si="6"/>
        <v>481.90358517927626</v>
      </c>
      <c r="Q37" s="201">
        <f t="shared" si="6"/>
        <v>0</v>
      </c>
      <c r="R37" s="201">
        <f t="shared" si="6"/>
        <v>165.08070064992268</v>
      </c>
      <c r="S37" s="201">
        <f t="shared" si="6"/>
        <v>0</v>
      </c>
      <c r="T37" s="202">
        <f t="shared" si="6"/>
        <v>1161.1938875405879</v>
      </c>
      <c r="U37" s="132"/>
      <c r="V37" s="132"/>
    </row>
    <row r="38" spans="1:22" ht="24.75" customHeight="1">
      <c r="A38" s="116"/>
      <c r="B38" s="117"/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4">
        <f>T38-R38-P38-F38</f>
        <v>0</v>
      </c>
      <c r="V38" s="64">
        <f>T38+S38-D38</f>
        <v>0</v>
      </c>
    </row>
    <row r="39" spans="1:29" ht="20.2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</row>
    <row r="40" spans="1:20" ht="15.75">
      <c r="A40" s="116"/>
      <c r="B40" s="117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>
      <c r="A41" s="116"/>
      <c r="B41" s="1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116"/>
      <c r="B42" s="1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116"/>
      <c r="B43" s="1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116"/>
      <c r="B44" s="1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116"/>
      <c r="B45" s="1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16"/>
      <c r="B46" s="1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116"/>
      <c r="B47" s="1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116"/>
      <c r="B48" s="1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116"/>
      <c r="B49" s="1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116"/>
      <c r="B50" s="1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116"/>
      <c r="B51" s="1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116"/>
      <c r="B52" s="1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16"/>
      <c r="B53" s="1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116"/>
      <c r="B54" s="1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116"/>
      <c r="B55" s="1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116"/>
      <c r="B56" s="1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116"/>
      <c r="B57" s="1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116"/>
      <c r="B58" s="1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116"/>
      <c r="B59" s="1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16"/>
      <c r="B60" s="1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16"/>
      <c r="B61" s="1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116"/>
      <c r="B62" s="1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116"/>
      <c r="B63" s="1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116"/>
      <c r="B64" s="1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116"/>
      <c r="B65" s="1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116"/>
      <c r="B66" s="1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16"/>
      <c r="B67" s="1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16"/>
      <c r="B68" s="1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116"/>
      <c r="B69" s="1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16"/>
      <c r="B70" s="1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16"/>
      <c r="B71" s="1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16"/>
      <c r="B72" s="1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16"/>
      <c r="B73" s="1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16"/>
      <c r="B74" s="1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16"/>
      <c r="B75" s="1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116"/>
      <c r="B76" s="1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16"/>
      <c r="B77" s="1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116"/>
      <c r="B78" s="1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116"/>
      <c r="B79" s="1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116"/>
      <c r="B80" s="1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116"/>
      <c r="B81" s="1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116"/>
      <c r="B82" s="1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116"/>
      <c r="B83" s="1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116"/>
      <c r="B84" s="1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116"/>
      <c r="B85" s="1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>
      <c r="A86" s="116"/>
      <c r="B86" s="1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116"/>
      <c r="B87" s="1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116"/>
      <c r="B88" s="1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116"/>
      <c r="B89" s="1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116"/>
      <c r="B90" s="1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116"/>
      <c r="B91" s="1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3" spans="1:20" ht="15.75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</row>
  </sheetData>
  <sheetProtection/>
  <mergeCells count="29">
    <mergeCell ref="S12:T12"/>
    <mergeCell ref="A93:T93"/>
    <mergeCell ref="C10:C14"/>
    <mergeCell ref="D10:D12"/>
    <mergeCell ref="E11:F11"/>
    <mergeCell ref="O11:P11"/>
    <mergeCell ref="E10:T10"/>
    <mergeCell ref="D13:D14"/>
    <mergeCell ref="B10:B14"/>
    <mergeCell ref="A39:AC39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1">
      <selection activeCell="B14" sqref="B14:B15"/>
    </sheetView>
  </sheetViews>
  <sheetFormatPr defaultColWidth="83.125" defaultRowHeight="12.75"/>
  <cols>
    <col min="1" max="1" width="10.125" style="82" customWidth="1"/>
    <col min="2" max="2" width="69.375" style="83" customWidth="1"/>
    <col min="3" max="3" width="19.00390625" style="80" customWidth="1"/>
    <col min="4" max="5" width="19.625" style="80" customWidth="1"/>
    <col min="6" max="6" width="20.25390625" style="80" customWidth="1"/>
    <col min="7" max="7" width="16.75390625" style="80" hidden="1" customWidth="1"/>
    <col min="8" max="8" width="22.125" style="80" customWidth="1"/>
    <col min="9" max="254" width="10.25390625" style="80" customWidth="1"/>
    <col min="255" max="255" width="10.125" style="80" customWidth="1"/>
    <col min="256" max="16384" width="83.125" style="80" customWidth="1"/>
  </cols>
  <sheetData>
    <row r="1" spans="1:50" ht="18.75">
      <c r="A1" s="1"/>
      <c r="B1" s="1"/>
      <c r="C1" s="1"/>
      <c r="D1" s="1"/>
      <c r="E1" s="1"/>
      <c r="F1" s="2" t="s">
        <v>115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>
      <c r="A5" s="268" t="s">
        <v>22</v>
      </c>
      <c r="B5" s="268"/>
      <c r="C5" s="268"/>
      <c r="D5" s="268"/>
      <c r="E5" s="268"/>
      <c r="F5" s="268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>
      <c r="A6" s="269" t="s">
        <v>91</v>
      </c>
      <c r="B6" s="269"/>
      <c r="C6" s="269"/>
      <c r="D6" s="269"/>
      <c r="E6" s="269"/>
      <c r="F6" s="269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1"/>
      <c r="AS6" s="1"/>
      <c r="AT6" s="1"/>
      <c r="AU6" s="1"/>
      <c r="AV6" s="1"/>
      <c r="AW6" s="1"/>
      <c r="AX6" s="1"/>
    </row>
    <row r="7" spans="1:6" ht="15.75">
      <c r="A7" s="270" t="s">
        <v>197</v>
      </c>
      <c r="B7" s="270"/>
      <c r="C7" s="270"/>
      <c r="D7" s="270"/>
      <c r="E7" s="270"/>
      <c r="F7" s="270"/>
    </row>
    <row r="8" spans="1:6" ht="18.75">
      <c r="A8" s="271"/>
      <c r="B8" s="271"/>
      <c r="C8" s="271"/>
      <c r="D8" s="271"/>
      <c r="E8" s="271"/>
      <c r="F8" s="271"/>
    </row>
    <row r="9" spans="1:6" ht="15.75">
      <c r="A9" s="272" t="s">
        <v>2</v>
      </c>
      <c r="B9" s="272"/>
      <c r="C9" s="272"/>
      <c r="D9" s="272"/>
      <c r="E9" s="272"/>
      <c r="F9" s="272"/>
    </row>
    <row r="10" spans="1:6" ht="15.75">
      <c r="A10" s="273"/>
      <c r="B10" s="273"/>
      <c r="C10" s="273"/>
      <c r="D10" s="273"/>
      <c r="E10" s="273"/>
      <c r="F10" s="273"/>
    </row>
    <row r="11" spans="1:31" ht="15.75">
      <c r="A11" s="260" t="s">
        <v>195</v>
      </c>
      <c r="B11" s="260"/>
      <c r="C11" s="260"/>
      <c r="D11" s="260"/>
      <c r="E11" s="260"/>
      <c r="F11" s="260"/>
      <c r="K11" s="83"/>
      <c r="P11" s="83"/>
      <c r="U11" s="83"/>
      <c r="Z11" s="83"/>
      <c r="AE11" s="83"/>
    </row>
    <row r="12" spans="1:6" ht="15.75">
      <c r="A12" s="261" t="s">
        <v>92</v>
      </c>
      <c r="B12" s="261"/>
      <c r="C12" s="261"/>
      <c r="D12" s="261"/>
      <c r="E12" s="261"/>
      <c r="F12" s="261"/>
    </row>
    <row r="13" spans="1:30" ht="16.5" thickBot="1">
      <c r="A13" s="80"/>
      <c r="B13" s="80"/>
      <c r="F13" s="84" t="s">
        <v>23</v>
      </c>
      <c r="Z13" s="85"/>
      <c r="AA13" s="85"/>
      <c r="AB13" s="85"/>
      <c r="AC13" s="85"/>
      <c r="AD13" s="85"/>
    </row>
    <row r="14" spans="1:30" ht="15.75">
      <c r="A14" s="262" t="s">
        <v>24</v>
      </c>
      <c r="B14" s="264" t="s">
        <v>25</v>
      </c>
      <c r="C14" s="86" t="s">
        <v>67</v>
      </c>
      <c r="D14" s="87" t="s">
        <v>117</v>
      </c>
      <c r="E14" s="87" t="s">
        <v>182</v>
      </c>
      <c r="F14" s="88" t="s">
        <v>26</v>
      </c>
      <c r="Z14" s="85"/>
      <c r="AA14" s="85"/>
      <c r="AB14" s="85"/>
      <c r="AC14" s="85"/>
      <c r="AD14" s="85"/>
    </row>
    <row r="15" spans="1:6" ht="15.75">
      <c r="A15" s="263"/>
      <c r="B15" s="265"/>
      <c r="C15" s="89" t="s">
        <v>27</v>
      </c>
      <c r="D15" s="89" t="s">
        <v>27</v>
      </c>
      <c r="E15" s="89" t="s">
        <v>27</v>
      </c>
      <c r="F15" s="90" t="s">
        <v>11</v>
      </c>
    </row>
    <row r="16" spans="1:7" ht="15.75">
      <c r="A16" s="91">
        <v>1</v>
      </c>
      <c r="B16" s="92">
        <v>2</v>
      </c>
      <c r="C16" s="93">
        <v>3</v>
      </c>
      <c r="D16" s="92">
        <v>4</v>
      </c>
      <c r="E16" s="93">
        <v>5</v>
      </c>
      <c r="F16" s="107">
        <v>6</v>
      </c>
      <c r="G16" s="106">
        <v>7</v>
      </c>
    </row>
    <row r="17" spans="1:256" ht="15.75">
      <c r="A17" s="266" t="s">
        <v>28</v>
      </c>
      <c r="B17" s="267"/>
      <c r="C17" s="94">
        <f>C18</f>
        <v>617.0515220536666</v>
      </c>
      <c r="D17" s="94">
        <f>D18</f>
        <v>578.2843022151316</v>
      </c>
      <c r="E17" s="94">
        <f>E18</f>
        <v>198.0968407799072</v>
      </c>
      <c r="F17" s="95">
        <f>F18</f>
        <v>1393.4326650487055</v>
      </c>
      <c r="G17" s="96">
        <f>F17-E17-D17-C17</f>
        <v>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7" ht="15.75">
      <c r="A18" s="78" t="s">
        <v>29</v>
      </c>
      <c r="B18" s="174" t="s">
        <v>30</v>
      </c>
      <c r="C18" s="203">
        <f>'прил.1'!K34</f>
        <v>617.0515220536666</v>
      </c>
      <c r="D18" s="203">
        <f>'прил.1'!S34</f>
        <v>578.2843022151316</v>
      </c>
      <c r="E18" s="203">
        <f>'прил.1'!AA34</f>
        <v>198.0968407799072</v>
      </c>
      <c r="F18" s="204">
        <f>+C18+D18+E18</f>
        <v>1393.4326650487055</v>
      </c>
      <c r="G18" s="96">
        <f>F18-E18-D18-C18</f>
        <v>0</v>
      </c>
    </row>
    <row r="19" spans="1:7" ht="15.75">
      <c r="A19" s="78" t="s">
        <v>31</v>
      </c>
      <c r="B19" s="172" t="s">
        <v>32</v>
      </c>
      <c r="C19" s="203">
        <f>C18-C29-C39</f>
        <v>453.45249863287466</v>
      </c>
      <c r="D19" s="203">
        <f>D18-D29-D39</f>
        <v>379.266838811208</v>
      </c>
      <c r="E19" s="203">
        <f>E18-E29-E39</f>
        <v>40.5299738712792</v>
      </c>
      <c r="F19" s="204">
        <f>+C19+D19+E19</f>
        <v>873.2493113153619</v>
      </c>
      <c r="G19" s="96">
        <f>F19-E19-D19-C19</f>
        <v>0</v>
      </c>
    </row>
    <row r="20" spans="1:6" ht="31.5">
      <c r="A20" s="78" t="s">
        <v>33</v>
      </c>
      <c r="B20" s="173" t="s">
        <v>93</v>
      </c>
      <c r="C20" s="203"/>
      <c r="D20" s="203"/>
      <c r="E20" s="203"/>
      <c r="F20" s="204"/>
    </row>
    <row r="21" spans="1:6" ht="15.75" hidden="1">
      <c r="A21" s="78"/>
      <c r="B21" s="175"/>
      <c r="C21" s="203"/>
      <c r="D21" s="203"/>
      <c r="E21" s="203"/>
      <c r="F21" s="204"/>
    </row>
    <row r="22" spans="1:6" ht="15.75" hidden="1">
      <c r="A22" s="78"/>
      <c r="B22" s="175"/>
      <c r="C22" s="203"/>
      <c r="D22" s="203"/>
      <c r="E22" s="203"/>
      <c r="F22" s="204"/>
    </row>
    <row r="23" spans="1:6" ht="15.75" hidden="1">
      <c r="A23" s="78"/>
      <c r="B23" s="175"/>
      <c r="C23" s="203"/>
      <c r="D23" s="203"/>
      <c r="E23" s="203"/>
      <c r="F23" s="204"/>
    </row>
    <row r="24" spans="1:6" ht="31.5">
      <c r="A24" s="78" t="s">
        <v>34</v>
      </c>
      <c r="B24" s="173" t="s">
        <v>94</v>
      </c>
      <c r="C24" s="203">
        <f>C19</f>
        <v>453.45249863287466</v>
      </c>
      <c r="D24" s="203">
        <f>D19</f>
        <v>379.266838811208</v>
      </c>
      <c r="E24" s="203">
        <f>E19</f>
        <v>40.5299738712792</v>
      </c>
      <c r="F24" s="204">
        <f>F19</f>
        <v>873.2493113153619</v>
      </c>
    </row>
    <row r="25" spans="1:6" ht="15.75" hidden="1">
      <c r="A25" s="78"/>
      <c r="B25" s="173"/>
      <c r="C25" s="203"/>
      <c r="D25" s="203"/>
      <c r="E25" s="203"/>
      <c r="F25" s="204"/>
    </row>
    <row r="26" spans="1:6" ht="15.75" hidden="1">
      <c r="A26" s="78"/>
      <c r="B26" s="175"/>
      <c r="C26" s="203"/>
      <c r="D26" s="203"/>
      <c r="E26" s="203"/>
      <c r="F26" s="204"/>
    </row>
    <row r="27" spans="1:6" ht="15.75" hidden="1">
      <c r="A27" s="78"/>
      <c r="B27" s="175"/>
      <c r="C27" s="203"/>
      <c r="D27" s="203"/>
      <c r="E27" s="203"/>
      <c r="F27" s="204"/>
    </row>
    <row r="28" spans="1:6" ht="15.75">
      <c r="A28" s="78" t="s">
        <v>35</v>
      </c>
      <c r="B28" s="173" t="s">
        <v>36</v>
      </c>
      <c r="C28" s="203"/>
      <c r="D28" s="203"/>
      <c r="E28" s="203"/>
      <c r="F28" s="204"/>
    </row>
    <row r="29" spans="1:7" ht="15.75">
      <c r="A29" s="78" t="s">
        <v>37</v>
      </c>
      <c r="B29" s="173" t="s">
        <v>38</v>
      </c>
      <c r="C29" s="203">
        <f>C31</f>
        <v>60.75710307851416</v>
      </c>
      <c r="D29" s="203">
        <f>D31</f>
        <v>102.63674636806829</v>
      </c>
      <c r="E29" s="203">
        <f>E31</f>
        <v>124.55072677864347</v>
      </c>
      <c r="F29" s="204">
        <f>+C29+D29+E29</f>
        <v>287.94457622522594</v>
      </c>
      <c r="G29" s="96">
        <f>F29-E29-D29-C29</f>
        <v>0</v>
      </c>
    </row>
    <row r="30" spans="1:6" ht="31.5">
      <c r="A30" s="78" t="s">
        <v>39</v>
      </c>
      <c r="B30" s="173" t="s">
        <v>95</v>
      </c>
      <c r="C30" s="203">
        <f>C31</f>
        <v>60.75710307851416</v>
      </c>
      <c r="D30" s="203">
        <f>D31</f>
        <v>102.63674636806829</v>
      </c>
      <c r="E30" s="203">
        <f>E31</f>
        <v>124.55072677864347</v>
      </c>
      <c r="F30" s="204">
        <f>F31</f>
        <v>287.94457622522594</v>
      </c>
    </row>
    <row r="31" spans="1:7" ht="15.75">
      <c r="A31" s="78" t="s">
        <v>96</v>
      </c>
      <c r="B31" s="175" t="s">
        <v>175</v>
      </c>
      <c r="C31" s="203">
        <f>'прил.1'!O34</f>
        <v>60.75710307851416</v>
      </c>
      <c r="D31" s="203">
        <f>'прил.1'!W34</f>
        <v>102.63674636806829</v>
      </c>
      <c r="E31" s="203">
        <f>'прил.1'!AE34</f>
        <v>124.55072677864347</v>
      </c>
      <c r="F31" s="204">
        <f>+C31+D31+E31</f>
        <v>287.94457622522594</v>
      </c>
      <c r="G31" s="96">
        <f>F31-E31-D31-C31</f>
        <v>0</v>
      </c>
    </row>
    <row r="32" spans="1:6" ht="15.75" hidden="1">
      <c r="A32" s="78"/>
      <c r="B32" s="175"/>
      <c r="C32" s="203"/>
      <c r="D32" s="203"/>
      <c r="E32" s="203"/>
      <c r="F32" s="204"/>
    </row>
    <row r="33" spans="1:6" ht="15.75" hidden="1">
      <c r="A33" s="78"/>
      <c r="B33" s="175"/>
      <c r="C33" s="203"/>
      <c r="D33" s="203"/>
      <c r="E33" s="203"/>
      <c r="F33" s="204"/>
    </row>
    <row r="34" spans="1:6" ht="15.75">
      <c r="A34" s="78" t="s">
        <v>40</v>
      </c>
      <c r="B34" s="173" t="s">
        <v>98</v>
      </c>
      <c r="C34" s="203"/>
      <c r="D34" s="203"/>
      <c r="E34" s="203"/>
      <c r="F34" s="204"/>
    </row>
    <row r="35" spans="1:6" ht="31.5">
      <c r="A35" s="78" t="s">
        <v>41</v>
      </c>
      <c r="B35" s="173" t="s">
        <v>42</v>
      </c>
      <c r="C35" s="203"/>
      <c r="D35" s="203"/>
      <c r="E35" s="203"/>
      <c r="F35" s="204"/>
    </row>
    <row r="36" spans="1:6" ht="15.75" hidden="1">
      <c r="A36" s="78" t="s">
        <v>99</v>
      </c>
      <c r="B36" s="175" t="s">
        <v>97</v>
      </c>
      <c r="C36" s="203"/>
      <c r="D36" s="203"/>
      <c r="E36" s="203"/>
      <c r="F36" s="204"/>
    </row>
    <row r="37" spans="1:6" ht="15.75" hidden="1">
      <c r="A37" s="78"/>
      <c r="B37" s="175"/>
      <c r="C37" s="203"/>
      <c r="D37" s="203"/>
      <c r="E37" s="203"/>
      <c r="F37" s="204"/>
    </row>
    <row r="38" spans="1:6" ht="15.75" hidden="1">
      <c r="A38" s="78"/>
      <c r="B38" s="175"/>
      <c r="C38" s="203"/>
      <c r="D38" s="203"/>
      <c r="E38" s="203"/>
      <c r="F38" s="204"/>
    </row>
    <row r="39" spans="1:7" s="97" customFormat="1" ht="15.75">
      <c r="A39" s="78" t="s">
        <v>43</v>
      </c>
      <c r="B39" s="172" t="s">
        <v>44</v>
      </c>
      <c r="C39" s="203">
        <f>'прил.1'!Q34</f>
        <v>102.84192034227777</v>
      </c>
      <c r="D39" s="203">
        <f>'прил.1'!Y34</f>
        <v>96.38071703585527</v>
      </c>
      <c r="E39" s="203">
        <f>'прил.1'!AG34</f>
        <v>33.01614012998454</v>
      </c>
      <c r="F39" s="204">
        <f>SUM(C39:E39)</f>
        <v>232.23877750811758</v>
      </c>
      <c r="G39" s="96">
        <f>F39-E39-D39-C39</f>
        <v>0</v>
      </c>
    </row>
    <row r="40" spans="1:6" ht="15.75">
      <c r="A40" s="78" t="s">
        <v>45</v>
      </c>
      <c r="B40" s="172" t="s">
        <v>46</v>
      </c>
      <c r="C40" s="203"/>
      <c r="D40" s="203"/>
      <c r="E40" s="203"/>
      <c r="F40" s="204"/>
    </row>
    <row r="41" spans="1:8" ht="18.75">
      <c r="A41" s="78" t="s">
        <v>47</v>
      </c>
      <c r="B41" s="173" t="s">
        <v>100</v>
      </c>
      <c r="C41" s="203"/>
      <c r="D41" s="203"/>
      <c r="E41" s="203"/>
      <c r="F41" s="204"/>
      <c r="G41" s="98"/>
      <c r="H41" s="99"/>
    </row>
    <row r="42" spans="1:8" ht="18.75">
      <c r="A42" s="78" t="s">
        <v>101</v>
      </c>
      <c r="B42" s="173" t="s">
        <v>102</v>
      </c>
      <c r="C42" s="203"/>
      <c r="D42" s="203"/>
      <c r="E42" s="203"/>
      <c r="F42" s="204"/>
      <c r="G42" s="98"/>
      <c r="H42" s="99"/>
    </row>
    <row r="43" spans="1:6" ht="15.75">
      <c r="A43" s="78" t="s">
        <v>48</v>
      </c>
      <c r="B43" s="174" t="s">
        <v>49</v>
      </c>
      <c r="C43" s="203"/>
      <c r="D43" s="203"/>
      <c r="E43" s="203"/>
      <c r="F43" s="204"/>
    </row>
    <row r="44" spans="1:6" ht="15.75">
      <c r="A44" s="78" t="s">
        <v>50</v>
      </c>
      <c r="B44" s="172" t="s">
        <v>51</v>
      </c>
      <c r="C44" s="203"/>
      <c r="D44" s="203"/>
      <c r="E44" s="203"/>
      <c r="F44" s="204"/>
    </row>
    <row r="45" spans="1:6" ht="15.75">
      <c r="A45" s="78" t="s">
        <v>52</v>
      </c>
      <c r="B45" s="172" t="s">
        <v>53</v>
      </c>
      <c r="C45" s="203"/>
      <c r="D45" s="203"/>
      <c r="E45" s="203"/>
      <c r="F45" s="204"/>
    </row>
    <row r="46" spans="1:6" ht="15.75">
      <c r="A46" s="78" t="s">
        <v>54</v>
      </c>
      <c r="B46" s="172" t="s">
        <v>55</v>
      </c>
      <c r="C46" s="203"/>
      <c r="D46" s="203"/>
      <c r="E46" s="203"/>
      <c r="F46" s="204"/>
    </row>
    <row r="47" spans="1:6" ht="15.75">
      <c r="A47" s="78" t="s">
        <v>56</v>
      </c>
      <c r="B47" s="172" t="s">
        <v>57</v>
      </c>
      <c r="C47" s="203"/>
      <c r="D47" s="203"/>
      <c r="E47" s="203"/>
      <c r="F47" s="204"/>
    </row>
    <row r="48" spans="1:6" ht="15.75">
      <c r="A48" s="78" t="s">
        <v>58</v>
      </c>
      <c r="B48" s="172" t="s">
        <v>103</v>
      </c>
      <c r="C48" s="203"/>
      <c r="D48" s="203"/>
      <c r="E48" s="203"/>
      <c r="F48" s="204"/>
    </row>
    <row r="49" spans="1:6" ht="15.75">
      <c r="A49" s="78" t="s">
        <v>59</v>
      </c>
      <c r="B49" s="173" t="s">
        <v>104</v>
      </c>
      <c r="C49" s="203"/>
      <c r="D49" s="203"/>
      <c r="E49" s="203"/>
      <c r="F49" s="204"/>
    </row>
    <row r="50" spans="1:6" ht="31.5">
      <c r="A50" s="78" t="s">
        <v>60</v>
      </c>
      <c r="B50" s="175" t="s">
        <v>105</v>
      </c>
      <c r="C50" s="203"/>
      <c r="D50" s="203"/>
      <c r="E50" s="203"/>
      <c r="F50" s="204"/>
    </row>
    <row r="51" spans="1:6" ht="31.5">
      <c r="A51" s="78" t="s">
        <v>61</v>
      </c>
      <c r="B51" s="173" t="s">
        <v>106</v>
      </c>
      <c r="C51" s="203"/>
      <c r="D51" s="203"/>
      <c r="E51" s="203"/>
      <c r="F51" s="204"/>
    </row>
    <row r="52" spans="1:6" ht="47.25">
      <c r="A52" s="78" t="s">
        <v>62</v>
      </c>
      <c r="B52" s="175" t="s">
        <v>107</v>
      </c>
      <c r="C52" s="203"/>
      <c r="D52" s="203"/>
      <c r="E52" s="203"/>
      <c r="F52" s="204"/>
    </row>
    <row r="53" spans="1:6" ht="15.75">
      <c r="A53" s="78" t="s">
        <v>63</v>
      </c>
      <c r="B53" s="172" t="s">
        <v>64</v>
      </c>
      <c r="C53" s="203"/>
      <c r="D53" s="203"/>
      <c r="E53" s="203"/>
      <c r="F53" s="204"/>
    </row>
    <row r="54" spans="1:6" ht="16.5" thickBot="1">
      <c r="A54" s="79" t="s">
        <v>65</v>
      </c>
      <c r="B54" s="176" t="s">
        <v>66</v>
      </c>
      <c r="C54" s="205"/>
      <c r="D54" s="205"/>
      <c r="E54" s="205"/>
      <c r="F54" s="206"/>
    </row>
    <row r="55" spans="3:6" ht="15.75">
      <c r="C55" s="100"/>
      <c r="D55" s="100"/>
      <c r="E55" s="100"/>
      <c r="F55" s="100"/>
    </row>
    <row r="56" spans="1:43" ht="83.25" customHeight="1">
      <c r="A56" s="49"/>
      <c r="B56" s="30"/>
      <c r="C56" s="50"/>
      <c r="D56" s="50"/>
      <c r="E56" s="50"/>
      <c r="F56" s="5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25" customHeight="1">
      <c r="A57" s="212"/>
      <c r="B57" s="212"/>
      <c r="C57" s="212"/>
      <c r="D57" s="212"/>
      <c r="E57" s="212"/>
      <c r="F57" s="212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1" ht="15.75">
      <c r="A58" s="258"/>
      <c r="B58" s="258"/>
      <c r="C58" s="258"/>
      <c r="D58" s="258"/>
      <c r="E58" s="258"/>
      <c r="F58" s="258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.75">
      <c r="A59" s="258"/>
      <c r="B59" s="258"/>
      <c r="C59" s="258"/>
      <c r="D59" s="258"/>
      <c r="E59" s="258"/>
      <c r="F59" s="258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7" ht="15.75">
      <c r="A60" s="229"/>
      <c r="B60" s="229"/>
      <c r="C60" s="229"/>
      <c r="D60" s="229"/>
      <c r="E60" s="229"/>
      <c r="F60" s="229"/>
      <c r="G60" s="11"/>
    </row>
    <row r="61" spans="1:6" ht="15.75">
      <c r="A61" s="259"/>
      <c r="B61" s="259"/>
      <c r="C61" s="259"/>
      <c r="D61" s="259"/>
      <c r="E61" s="259"/>
      <c r="F61" s="259"/>
    </row>
    <row r="63" spans="3:6" ht="15.75">
      <c r="C63" s="101"/>
      <c r="D63" s="101"/>
      <c r="E63" s="101"/>
      <c r="F63" s="101"/>
    </row>
    <row r="64" spans="3:5" ht="15.75">
      <c r="C64" s="102"/>
      <c r="D64" s="102"/>
      <c r="E64" s="102"/>
    </row>
  </sheetData>
  <sheetProtection/>
  <mergeCells count="16"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2019-09-26T09:16:14Z</cp:lastPrinted>
  <dcterms:created xsi:type="dcterms:W3CDTF">2004-09-19T06:34:55Z</dcterms:created>
  <dcterms:modified xsi:type="dcterms:W3CDTF">2020-04-14T06:57:04Z</dcterms:modified>
  <cp:category/>
  <cp:version/>
  <cp:contentType/>
  <cp:contentStatus/>
</cp:coreProperties>
</file>