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2180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'прил.1'!$A$1:$AP$32</definedName>
    <definedName name="_xlnm.Print_Area" localSheetId="1">'прил.2'!$A$1:$O$31</definedName>
    <definedName name="_xlnm.Print_Area" localSheetId="2">'прил.3'!$A$1:$U$32</definedName>
    <definedName name="_xlnm.Print_Area" localSheetId="3">'прил.4'!$A$1:$T$37</definedName>
    <definedName name="_xlnm.Print_Area" localSheetId="4">'прил.5'!$A$1:$G$54</definedName>
  </definedNames>
  <calcPr fullCalcOnLoad="1"/>
</workbook>
</file>

<file path=xl/sharedStrings.xml><?xml version="1.0" encoding="utf-8"?>
<sst xmlns="http://schemas.openxmlformats.org/spreadsheetml/2006/main" count="349" uniqueCount="223">
  <si>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</si>
  <si>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</si>
  <si>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</si>
  <si>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</si>
  <si>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</si>
  <si>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</si>
  <si>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</si>
  <si>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</si>
  <si>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</si>
  <si>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</si>
  <si>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</si>
  <si>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</si>
  <si>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</si>
  <si>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</si>
  <si>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</si>
  <si>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</si>
  <si>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</si>
  <si>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</si>
  <si>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</si>
  <si>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</si>
  <si>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</si>
  <si>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</si>
  <si>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</si>
  <si>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</si>
  <si>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</si>
  <si>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</si>
  <si>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</si>
  <si>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</si>
  <si>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</si>
  <si>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</si>
  <si>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</si>
  <si>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</si>
  <si>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</si>
  <si>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</si>
  <si>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</si>
  <si>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</si>
  <si>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</si>
  <si>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</si>
  <si>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</si>
  <si>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</si>
  <si>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</si>
  <si>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</si>
  <si>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</si>
  <si>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</si>
  <si>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</si>
  <si>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</si>
  <si>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</si>
  <si>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</si>
  <si>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</si>
  <si>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</si>
  <si>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</si>
  <si>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</si>
  <si>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</si>
  <si>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</si>
  <si>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</si>
  <si>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</si>
  <si>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</si>
  <si>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</si>
  <si>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</si>
  <si>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</si>
  <si>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</si>
  <si>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</si>
  <si>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</si>
  <si>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</si>
  <si>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</si>
  <si>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</si>
  <si>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</si>
  <si>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2021 год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</si>
  <si>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</si>
  <si>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</si>
  <si>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</si>
  <si>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</si>
  <si>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</si>
  <si>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шт.</t>
  </si>
  <si>
    <t>Другое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</si>
  <si>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</si>
  <si>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</si>
  <si>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</si>
  <si>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</si>
  <si>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</si>
  <si>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</si>
  <si>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</si>
  <si>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</si>
  <si>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</si>
  <si>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</si>
  <si>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</si>
  <si>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</si>
  <si>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</si>
  <si>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</si>
  <si>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</si>
  <si>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</si>
  <si>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</si>
  <si>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наименование субъекта Российской Федерации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</si>
  <si>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</si>
  <si>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</si>
  <si>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</si>
  <si>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</si>
  <si>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</si>
  <si>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</si>
  <si>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</si>
  <si>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</si>
  <si>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</si>
  <si>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</si>
  <si>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</si>
  <si>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</si>
  <si>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</si>
  <si>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</si>
  <si>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</si>
  <si>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</si>
  <si>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</si>
  <si>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</si>
  <si>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2.1.</t>
  </si>
  <si>
    <t>2.2.</t>
  </si>
  <si>
    <t>2.3.</t>
  </si>
  <si>
    <t>3.1.</t>
  </si>
  <si>
    <t>Приложение  № 5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</si>
  <si>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 </t>
    </r>
  </si>
  <si>
    <t>2022 год</t>
  </si>
  <si>
    <t xml:space="preserve">Оборудование многоквартирных жилых домов интеллектуальной системой учета 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</si>
  <si>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</si>
  <si>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</si>
  <si>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</si>
  <si>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</si>
  <si>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</si>
  <si>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</si>
  <si>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</si>
  <si>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</si>
  <si>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</si>
  <si>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</si>
  <si>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Иные проекты</t>
  </si>
  <si>
    <t>Оснащение интеллектуальной системой учета</t>
  </si>
  <si>
    <t>2.</t>
  </si>
  <si>
    <t>1.</t>
  </si>
  <si>
    <t>2.4.</t>
  </si>
  <si>
    <t>2.5.</t>
  </si>
  <si>
    <t>2.6.</t>
  </si>
  <si>
    <t>2.7.</t>
  </si>
  <si>
    <t>4.</t>
  </si>
  <si>
    <t>4.1.</t>
  </si>
  <si>
    <t>3.</t>
  </si>
  <si>
    <t>Приобретение оргтехники</t>
  </si>
  <si>
    <t>амортизация</t>
  </si>
  <si>
    <t>прибыль на капитальные вложения</t>
  </si>
  <si>
    <t>средств, полученных от оказания услуг, реализации товаров по регулируемым государством ценам (тарифам), в т.ч.</t>
  </si>
  <si>
    <t>ИТОГО</t>
  </si>
  <si>
    <t>возврат налога на добавленную стоимость</t>
  </si>
  <si>
    <t>11</t>
  </si>
  <si>
    <t>11.1</t>
  </si>
  <si>
    <t>11.2</t>
  </si>
  <si>
    <t>11.3</t>
  </si>
  <si>
    <t>11.4</t>
  </si>
  <si>
    <t>11.5</t>
  </si>
  <si>
    <t>12.1</t>
  </si>
  <si>
    <t>12.5</t>
  </si>
  <si>
    <t>13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</si>
  <si>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</si>
  <si>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</si>
  <si>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</si>
  <si>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</si>
  <si>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</si>
  <si>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</si>
  <si>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</si>
  <si>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</si>
  <si>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</si>
  <si>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</si>
  <si>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11.3.1</t>
  </si>
  <si>
    <t>11.3.2</t>
  </si>
  <si>
    <t>14</t>
  </si>
  <si>
    <t>12.3.1</t>
  </si>
  <si>
    <t>12.3.2</t>
  </si>
  <si>
    <t>13.3.1</t>
  </si>
  <si>
    <t>13.3.2</t>
  </si>
  <si>
    <t>14.3.1</t>
  </si>
  <si>
    <t>14.3.2</t>
  </si>
  <si>
    <t>реализация электрической энергии и мощности</t>
  </si>
  <si>
    <t>Итого:</t>
  </si>
  <si>
    <t>Раздел 3 План принятия основных средств и нематериальных активов к бухгалтерскому учету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</si>
  <si>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</si>
  <si>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</si>
  <si>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План 
на 01.01.2021</t>
  </si>
  <si>
    <t>2023 год</t>
  </si>
  <si>
    <t>1 квартал 
2021 года</t>
  </si>
  <si>
    <t>2 квартал 
2021 года</t>
  </si>
  <si>
    <t>3 квартал 
2021 года</t>
  </si>
  <si>
    <t>4 квартал 
2021 года</t>
  </si>
  <si>
    <t>1 квартал 2021 года</t>
  </si>
  <si>
    <t>2 квартал 2021 года</t>
  </si>
  <si>
    <t>3 квартал 2021 года</t>
  </si>
  <si>
    <t>4 квартал 2021 года</t>
  </si>
  <si>
    <t>1.2.</t>
  </si>
  <si>
    <t>1.3.</t>
  </si>
  <si>
    <t>1.4.</t>
  </si>
  <si>
    <t xml:space="preserve">Охранно-пожарная сигнализация в участке </t>
  </si>
  <si>
    <t>_______                               КУРСКАЯ ОБЛАСТЬ________________________</t>
  </si>
  <si>
    <r>
      <rPr>
        <u val="single"/>
        <sz val="14"/>
        <rFont val="Times New Roman"/>
        <family val="1"/>
      </rPr>
      <t>ОП "КурскАтомЭнергоСбыт" АО "АтомЭнергоСбыт"</t>
    </r>
    <r>
      <rPr>
        <sz val="14"/>
        <rFont val="Times New Roman"/>
        <family val="1"/>
      </rPr>
      <t xml:space="preserve"> </t>
    </r>
  </si>
  <si>
    <t>ОП "КурскАтомЭнергоСбыт" АО "АтомЭнергоСбыт"</t>
  </si>
  <si>
    <t>ИБП APC SRC2KI Smart-UPS RC 2000VA 1600W</t>
  </si>
  <si>
    <t>Ленточная библиотека HPE STOREEVER MSL2024 LTO-7 15000 SAS (P9G69A</t>
  </si>
  <si>
    <t>Система хранения данных (СХД) Lenovo Storage V3700 V2 SFF Control Enclosure (6535C2D)</t>
  </si>
  <si>
    <t>Коммутатор Cisco</t>
  </si>
  <si>
    <t xml:space="preserve">Установка шлагбаумов: г.Курск, ул. Энгельса, д.134 </t>
  </si>
  <si>
    <t>Модернизация системы контроля и управления доступом: г. Курск, ул. Энгельса, д. 134</t>
  </si>
  <si>
    <t>Система видеонаблюдения: г. Курск, ул. Энгельса, д. 134</t>
  </si>
  <si>
    <t>Система хранения данных (СХД) HPE MSA 1050 8Gb Fibre Channel Dual Controller SFF Storage (Q2R19A)</t>
  </si>
  <si>
    <t>K_L01</t>
  </si>
  <si>
    <t>K_L02</t>
  </si>
  <si>
    <t>K_L03</t>
  </si>
  <si>
    <t>K_L04</t>
  </si>
  <si>
    <t>K_L05</t>
  </si>
  <si>
    <t>K_L07</t>
  </si>
  <si>
    <t>K_L06</t>
  </si>
  <si>
    <t>K_L15</t>
  </si>
  <si>
    <t>K_01</t>
  </si>
  <si>
    <t>K_02</t>
  </si>
  <si>
    <t>K_03</t>
  </si>
  <si>
    <t>Модернизация ЕКЦ (Робот-оператор)</t>
  </si>
  <si>
    <t>L_КАЭС.03</t>
  </si>
  <si>
    <t>L_КАЭС.01</t>
  </si>
  <si>
    <t>L_КАЭС.02</t>
  </si>
  <si>
    <t>1.5.</t>
  </si>
  <si>
    <t>Реализация мероприятий по соответствию бренд-буку</t>
  </si>
  <si>
    <t>Моноблок 23.8" HP 24-df1008ur (2Y0P0EA)</t>
  </si>
  <si>
    <t xml:space="preserve">План 
на 01.01.2022 года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</si>
</sst>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_-* #,##0.0\ _₽_-;\-* #,##0.0\ _₽_-;_-* &quot;-&quot;?\ _₽_-;_-@_-"/>
    <numFmt numFmtId="199" formatCode="_-* #,##0.00\ _₽_-;\-* #,##0.00\ _₽_-;_-* &quot;-&quot;?\ _₽_-;_-@_-"/>
    <numFmt numFmtId="200" formatCode="_-* #,##0.000\ _₽_-;\-* #,##0.000\ _₽_-;_-* &quot;-&quot;?\ _₽_-;_-@_-"/>
    <numFmt numFmtId="201" formatCode="_-* #,##0.0000\ _₽_-;\-* #,##0.0000\ _₽_-;_-* &quot;-&quot;?\ _₽_-;_-@_-"/>
    <numFmt numFmtId="202" formatCode="_-* #,##0.00000\ _₽_-;\-* #,##0.00000\ _₽_-;_-* &quot;-&quot;?\ _₽_-;_-@_-"/>
    <numFmt numFmtId="203" formatCode="_-* #,##0.000000\ _₽_-;\-* #,##0.000000\ _₽_-;_-* &quot;-&quot;?\ _₽_-;_-@_-"/>
    <numFmt numFmtId="204" formatCode="_-* #,##0.0000000\ _₽_-;\-* #,##0.0000000\ _₽_-;_-* &quot;-&quot;?\ _₽_-;_-@_-"/>
    <numFmt numFmtId="205" formatCode="_-* #,##0.00000000\ _₽_-;\-* #,##0.00000000\ _₽_-;_-* &quot;-&quot;?\ _₽_-;_-@_-"/>
    <numFmt numFmtId="206" formatCode="_-* #,##0.000000000\ _₽_-;\-* #,##0.000000000\ _₽_-;_-* &quot;-&quot;?\ _₽_-;_-@_-"/>
    <numFmt numFmtId="207" formatCode="_-* #,##0.0000000000\ _₽_-;\-* #,##0.0000000000\ _₽_-;_-* &quot;-&quot;?\ _₽_-;_-@_-"/>
    <numFmt numFmtId="208" formatCode="_-* #,##0.00000000000\ _₽_-;\-* #,##0.00000000000\ _₽_-;_-* &quot;-&quot;?\ _₽_-;_-@_-"/>
    <numFmt numFmtId="209" formatCode="_-* #,##0.000000000000\ _₽_-;\-* #,##0.000000000000\ _₽_-;_-* &quot;-&quot;?\ _₽_-;_-@_-"/>
    <numFmt numFmtId="210" formatCode="_-* #,##0.0000000000000\ _₽_-;\-* #,##0.0000000000000\ _₽_-;_-* &quot;-&quot;?\ _₽_-;_-@_-"/>
    <numFmt numFmtId="211" formatCode="0.000000000"/>
    <numFmt numFmtId="212" formatCode="_-* #,##0.0\ _₽_-;\-* #,##0.0\ _₽_-;_-* &quot;-&quot;??\ _₽_-;_-@_-"/>
    <numFmt numFmtId="213" formatCode="_-* #,##0\ _₽_-;\-* #,##0\ _₽_-;_-* &quot;-&quot;??\ _₽_-;_-@_-"/>
    <numFmt numFmtId="214" formatCode="_-* #,##0.000\ _₽_-;\-* #,##0.000\ _₽_-;_-* &quot;-&quot;??\ _₽_-;_-@_-"/>
    <numFmt numFmtId="215" formatCode="0.0000000000"/>
    <numFmt numFmtId="216" formatCode="0.00000000000"/>
    <numFmt numFmtId="217" formatCode="0.000000000000"/>
    <numFmt numFmtId="218" formatCode="0.0000000000000"/>
    <numFmt numFmtId="219" formatCode="0.00000000000000"/>
    <numFmt numFmtId="220" formatCode="0.000000000000000"/>
    <numFmt numFmtId="221" formatCode="#,##0_ ;\-#,##0\ "/>
    <numFmt numFmtId="222" formatCode="_-* #,##0.000\ _₽_-;\-* #,##0.000\ _₽_-;_-* &quot;-&quot;???\ _₽_-;_-@_-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0" fillId="3" borderId="0" applyNumberFormat="0" applyBorder="0" applyAlignment="0" applyProtection="0"/>
    <xf numFmtId="0" fontId="48" fillId="4" borderId="0" applyNumberFormat="0" applyBorder="0" applyAlignment="0" applyProtection="0"/>
    <xf numFmtId="0" fontId="20" fillId="5" borderId="0" applyNumberFormat="0" applyBorder="0" applyAlignment="0" applyProtection="0"/>
    <xf numFmtId="0" fontId="48" fillId="6" borderId="0" applyNumberFormat="0" applyBorder="0" applyAlignment="0" applyProtection="0"/>
    <xf numFmtId="0" fontId="20" fillId="7" borderId="0" applyNumberFormat="0" applyBorder="0" applyAlignment="0" applyProtection="0"/>
    <xf numFmtId="0" fontId="48" fillId="8" borderId="0" applyNumberFormat="0" applyBorder="0" applyAlignment="0" applyProtection="0"/>
    <xf numFmtId="0" fontId="20" fillId="9" borderId="0" applyNumberFormat="0" applyBorder="0" applyAlignment="0" applyProtection="0"/>
    <xf numFmtId="0" fontId="48" fillId="10" borderId="0" applyNumberFormat="0" applyBorder="0" applyAlignment="0" applyProtection="0"/>
    <xf numFmtId="0" fontId="20" fillId="11" borderId="0" applyNumberFormat="0" applyBorder="0" applyAlignment="0" applyProtection="0"/>
    <xf numFmtId="0" fontId="48" fillId="12" borderId="0" applyNumberFormat="0" applyBorder="0" applyAlignment="0" applyProtection="0"/>
    <xf numFmtId="0" fontId="20" fillId="13" borderId="0" applyNumberFormat="0" applyBorder="0" applyAlignment="0" applyProtection="0"/>
    <xf numFmtId="0" fontId="48" fillId="14" borderId="0" applyNumberFormat="0" applyBorder="0" applyAlignment="0" applyProtection="0"/>
    <xf numFmtId="0" fontId="20" fillId="15" borderId="0" applyNumberFormat="0" applyBorder="0" applyAlignment="0" applyProtection="0"/>
    <xf numFmtId="0" fontId="48" fillId="16" borderId="0" applyNumberFormat="0" applyBorder="0" applyAlignment="0" applyProtection="0"/>
    <xf numFmtId="0" fontId="20" fillId="17" borderId="0" applyNumberFormat="0" applyBorder="0" applyAlignment="0" applyProtection="0"/>
    <xf numFmtId="0" fontId="48" fillId="18" borderId="0" applyNumberFormat="0" applyBorder="0" applyAlignment="0" applyProtection="0"/>
    <xf numFmtId="0" fontId="20" fillId="19" borderId="0" applyNumberFormat="0" applyBorder="0" applyAlignment="0" applyProtection="0"/>
    <xf numFmtId="0" fontId="48" fillId="20" borderId="0" applyNumberFormat="0" applyBorder="0" applyAlignment="0" applyProtection="0"/>
    <xf numFmtId="0" fontId="20" fillId="9" borderId="0" applyNumberFormat="0" applyBorder="0" applyAlignment="0" applyProtection="0"/>
    <xf numFmtId="0" fontId="48" fillId="21" borderId="0" applyNumberFormat="0" applyBorder="0" applyAlignment="0" applyProtection="0"/>
    <xf numFmtId="0" fontId="20" fillId="15" borderId="0" applyNumberFormat="0" applyBorder="0" applyAlignment="0" applyProtection="0"/>
    <xf numFmtId="0" fontId="48" fillId="22" borderId="0" applyNumberFormat="0" applyBorder="0" applyAlignment="0" applyProtection="0"/>
    <xf numFmtId="0" fontId="20" fillId="23" borderId="0" applyNumberFormat="0" applyBorder="0" applyAlignment="0" applyProtection="0"/>
    <xf numFmtId="0" fontId="49" fillId="24" borderId="0" applyNumberFormat="0" applyBorder="0" applyAlignment="0" applyProtection="0"/>
    <xf numFmtId="0" fontId="21" fillId="25" borderId="0" applyNumberFormat="0" applyBorder="0" applyAlignment="0" applyProtection="0"/>
    <xf numFmtId="0" fontId="49" fillId="26" borderId="0" applyNumberFormat="0" applyBorder="0" applyAlignment="0" applyProtection="0"/>
    <xf numFmtId="0" fontId="21" fillId="17" borderId="0" applyNumberFormat="0" applyBorder="0" applyAlignment="0" applyProtection="0"/>
    <xf numFmtId="0" fontId="49" fillId="27" borderId="0" applyNumberFormat="0" applyBorder="0" applyAlignment="0" applyProtection="0"/>
    <xf numFmtId="0" fontId="21" fillId="19" borderId="0" applyNumberFormat="0" applyBorder="0" applyAlignment="0" applyProtection="0"/>
    <xf numFmtId="0" fontId="49" fillId="28" borderId="0" applyNumberFormat="0" applyBorder="0" applyAlignment="0" applyProtection="0"/>
    <xf numFmtId="0" fontId="21" fillId="29" borderId="0" applyNumberFormat="0" applyBorder="0" applyAlignment="0" applyProtection="0"/>
    <xf numFmtId="0" fontId="49" fillId="30" borderId="0" applyNumberFormat="0" applyBorder="0" applyAlignment="0" applyProtection="0"/>
    <xf numFmtId="0" fontId="21" fillId="31" borderId="0" applyNumberFormat="0" applyBorder="0" applyAlignment="0" applyProtection="0"/>
    <xf numFmtId="0" fontId="49" fillId="32" borderId="0" applyNumberFormat="0" applyBorder="0" applyAlignment="0" applyProtection="0"/>
    <xf numFmtId="0" fontId="21" fillId="33" borderId="0" applyNumberFormat="0" applyBorder="0" applyAlignment="0" applyProtection="0"/>
    <xf numFmtId="0" fontId="37" fillId="0" borderId="0">
      <alignment/>
      <protection/>
    </xf>
    <xf numFmtId="0" fontId="49" fillId="34" borderId="0" applyNumberFormat="0" applyBorder="0" applyAlignment="0" applyProtection="0"/>
    <xf numFmtId="0" fontId="21" fillId="35" borderId="0" applyNumberFormat="0" applyBorder="0" applyAlignment="0" applyProtection="0"/>
    <xf numFmtId="0" fontId="49" fillId="36" borderId="0" applyNumberFormat="0" applyBorder="0" applyAlignment="0" applyProtection="0"/>
    <xf numFmtId="0" fontId="21" fillId="37" borderId="0" applyNumberFormat="0" applyBorder="0" applyAlignment="0" applyProtection="0"/>
    <xf numFmtId="0" fontId="49" fillId="38" borderId="0" applyNumberFormat="0" applyBorder="0" applyAlignment="0" applyProtection="0"/>
    <xf numFmtId="0" fontId="21" fillId="39" borderId="0" applyNumberFormat="0" applyBorder="0" applyAlignment="0" applyProtection="0"/>
    <xf numFmtId="0" fontId="49" fillId="40" borderId="0" applyNumberFormat="0" applyBorder="0" applyAlignment="0" applyProtection="0"/>
    <xf numFmtId="0" fontId="21" fillId="29" borderId="0" applyNumberFormat="0" applyBorder="0" applyAlignment="0" applyProtection="0"/>
    <xf numFmtId="0" fontId="49" fillId="41" borderId="0" applyNumberFormat="0" applyBorder="0" applyAlignment="0" applyProtection="0"/>
    <xf numFmtId="0" fontId="21" fillId="31" borderId="0" applyNumberFormat="0" applyBorder="0" applyAlignment="0" applyProtection="0"/>
    <xf numFmtId="0" fontId="49" fillId="42" borderId="0" applyNumberFormat="0" applyBorder="0" applyAlignment="0" applyProtection="0"/>
    <xf numFmtId="0" fontId="21" fillId="43" borderId="0" applyNumberFormat="0" applyBorder="0" applyAlignment="0" applyProtection="0"/>
    <xf numFmtId="0" fontId="50" fillId="44" borderId="1" applyNumberFormat="0" applyAlignment="0" applyProtection="0"/>
    <xf numFmtId="0" fontId="22" fillId="13" borderId="2" applyNumberFormat="0" applyAlignment="0" applyProtection="0"/>
    <xf numFmtId="0" fontId="51" fillId="45" borderId="3" applyNumberFormat="0" applyAlignment="0" applyProtection="0"/>
    <xf numFmtId="0" fontId="23" fillId="46" borderId="4" applyNumberFormat="0" applyAlignment="0" applyProtection="0"/>
    <xf numFmtId="0" fontId="52" fillId="45" borderId="1" applyNumberFormat="0" applyAlignment="0" applyProtection="0"/>
    <xf numFmtId="0" fontId="24" fillId="46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25" fillId="0" borderId="6" applyNumberFormat="0" applyFill="0" applyAlignment="0" applyProtection="0"/>
    <xf numFmtId="0" fontId="54" fillId="0" borderId="7" applyNumberFormat="0" applyFill="0" applyAlignment="0" applyProtection="0"/>
    <xf numFmtId="0" fontId="26" fillId="0" borderId="8" applyNumberFormat="0" applyFill="0" applyAlignment="0" applyProtection="0"/>
    <xf numFmtId="0" fontId="55" fillId="0" borderId="9" applyNumberFormat="0" applyFill="0" applyAlignment="0" applyProtection="0"/>
    <xf numFmtId="0" fontId="27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8" fillId="0" borderId="12" applyNumberFormat="0" applyFill="0" applyAlignment="0" applyProtection="0"/>
    <xf numFmtId="0" fontId="57" fillId="47" borderId="13" applyNumberFormat="0" applyAlignment="0" applyProtection="0"/>
    <xf numFmtId="0" fontId="29" fillId="48" borderId="14" applyNumberFormat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31" fillId="50" borderId="0" applyNumberFormat="0" applyBorder="0" applyAlignment="0" applyProtection="0"/>
    <xf numFmtId="0" fontId="48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32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0" fillId="53" borderId="16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17" applyNumberFormat="0" applyFill="0" applyAlignment="0" applyProtection="0"/>
    <xf numFmtId="0" fontId="34" fillId="0" borderId="18" applyNumberFormat="0" applyFill="0" applyAlignment="0" applyProtection="0"/>
    <xf numFmtId="0" fontId="38" fillId="0" borderId="0">
      <alignment/>
      <protection/>
    </xf>
    <xf numFmtId="0" fontId="6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221" fontId="37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65" fillId="54" borderId="0" applyNumberFormat="0" applyBorder="0" applyAlignment="0" applyProtection="0"/>
    <xf numFmtId="0" fontId="36" fillId="7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94" applyFont="1" applyFill="1" applyAlignment="1">
      <alignment horizontal="right" vertical="center"/>
      <protection/>
    </xf>
    <xf numFmtId="0" fontId="4" fillId="0" borderId="0" xfId="9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0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108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108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94" applyFont="1" applyFill="1" applyBorder="1" applyAlignment="1">
      <alignment horizontal="center" vertical="center" textRotation="90" wrapText="1"/>
      <protection/>
    </xf>
    <xf numFmtId="0" fontId="3" fillId="55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6" fillId="0" borderId="0" xfId="98" applyFont="1" applyFill="1" applyBorder="1" applyAlignment="1">
      <alignment/>
      <protection/>
    </xf>
    <xf numFmtId="0" fontId="7" fillId="0" borderId="0" xfId="0" applyFont="1" applyFill="1" applyAlignment="1">
      <alignment/>
    </xf>
    <xf numFmtId="2" fontId="7" fillId="0" borderId="19" xfId="0" applyNumberFormat="1" applyFont="1" applyFill="1" applyBorder="1" applyAlignment="1">
      <alignment horizontal="center" vertical="center"/>
    </xf>
    <xf numFmtId="2" fontId="3" fillId="0" borderId="19" xfId="105" applyNumberFormat="1" applyFont="1" applyFill="1" applyBorder="1" applyAlignment="1">
      <alignment horizontal="center" vertical="center" wrapText="1"/>
      <protection/>
    </xf>
    <xf numFmtId="2" fontId="3" fillId="0" borderId="19" xfId="0" applyNumberFormat="1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1" fontId="3" fillId="0" borderId="19" xfId="105" applyNumberFormat="1" applyFont="1" applyFill="1" applyBorder="1" applyAlignment="1">
      <alignment horizontal="center" vertical="center" wrapText="1"/>
      <protection/>
    </xf>
    <xf numFmtId="2" fontId="3" fillId="0" borderId="19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0" xfId="94" applyFont="1" applyFill="1" applyAlignment="1">
      <alignment horizontal="right" vertical="center"/>
      <protection/>
    </xf>
    <xf numFmtId="4" fontId="3" fillId="0" borderId="0" xfId="0" applyNumberFormat="1" applyFont="1" applyFill="1" applyAlignment="1">
      <alignment vertical="top" wrapText="1"/>
    </xf>
    <xf numFmtId="3" fontId="67" fillId="0" borderId="0" xfId="0" applyNumberFormat="1" applyFont="1" applyFill="1" applyAlignment="1">
      <alignment horizontal="center" vertical="top" wrapText="1"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14" fontId="3" fillId="0" borderId="19" xfId="105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Alignment="1">
      <alignment/>
    </xf>
    <xf numFmtId="2" fontId="7" fillId="0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1" fontId="7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textRotation="90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3" fillId="0" borderId="0" xfId="95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95" applyNumberFormat="1" applyFont="1" applyFill="1" applyAlignment="1">
      <alignment horizontal="center" vertical="center"/>
      <protection/>
    </xf>
    <xf numFmtId="0" fontId="3" fillId="0" borderId="0" xfId="95" applyFont="1" applyFill="1" applyAlignment="1">
      <alignment wrapText="1"/>
      <protection/>
    </xf>
    <xf numFmtId="0" fontId="3" fillId="0" borderId="0" xfId="95" applyFont="1" applyFill="1" applyAlignment="1">
      <alignment horizontal="right"/>
      <protection/>
    </xf>
    <xf numFmtId="17" fontId="3" fillId="0" borderId="0" xfId="95" applyNumberFormat="1" applyFont="1" applyFill="1">
      <alignment/>
      <protection/>
    </xf>
    <xf numFmtId="0" fontId="10" fillId="0" borderId="28" xfId="95" applyFont="1" applyFill="1" applyBorder="1" applyAlignment="1">
      <alignment horizontal="center" vertical="center" wrapText="1"/>
      <protection/>
    </xf>
    <xf numFmtId="0" fontId="3" fillId="0" borderId="28" xfId="95" applyFont="1" applyFill="1" applyBorder="1" applyAlignment="1">
      <alignment horizontal="center" vertical="center" wrapText="1"/>
      <protection/>
    </xf>
    <xf numFmtId="0" fontId="3" fillId="0" borderId="29" xfId="95" applyFont="1" applyFill="1" applyBorder="1" applyAlignment="1">
      <alignment horizontal="center" vertical="center" wrapText="1"/>
      <protection/>
    </xf>
    <xf numFmtId="0" fontId="8" fillId="0" borderId="19" xfId="95" applyFont="1" applyFill="1" applyBorder="1" applyAlignment="1">
      <alignment horizontal="center" vertical="center" wrapText="1"/>
      <protection/>
    </xf>
    <xf numFmtId="0" fontId="8" fillId="0" borderId="27" xfId="95" applyFont="1" applyFill="1" applyBorder="1" applyAlignment="1">
      <alignment horizontal="center" vertical="center" wrapText="1"/>
      <protection/>
    </xf>
    <xf numFmtId="49" fontId="11" fillId="0" borderId="24" xfId="95" applyNumberFormat="1" applyFont="1" applyFill="1" applyBorder="1" applyAlignment="1">
      <alignment horizontal="center" vertical="center"/>
      <protection/>
    </xf>
    <xf numFmtId="0" fontId="11" fillId="0" borderId="19" xfId="95" applyFont="1" applyFill="1" applyBorder="1" applyAlignment="1">
      <alignment horizontal="center" vertical="center" wrapText="1"/>
      <protection/>
    </xf>
    <xf numFmtId="49" fontId="11" fillId="0" borderId="19" xfId="95" applyNumberFormat="1" applyFont="1" applyFill="1" applyBorder="1" applyAlignment="1">
      <alignment horizontal="center" vertical="center"/>
      <protection/>
    </xf>
    <xf numFmtId="4" fontId="7" fillId="0" borderId="19" xfId="95" applyNumberFormat="1" applyFont="1" applyFill="1" applyBorder="1" applyAlignment="1">
      <alignment horizontal="center" vertical="center" wrapText="1"/>
      <protection/>
    </xf>
    <xf numFmtId="4" fontId="7" fillId="0" borderId="27" xfId="95" applyNumberFormat="1" applyFont="1" applyFill="1" applyBorder="1" applyAlignment="1">
      <alignment horizontal="center" vertical="center" wrapText="1"/>
      <protection/>
    </xf>
    <xf numFmtId="3" fontId="68" fillId="0" borderId="0" xfId="95" applyNumberFormat="1" applyFont="1" applyFill="1" applyAlignment="1">
      <alignment horizontal="center"/>
      <protection/>
    </xf>
    <xf numFmtId="0" fontId="7" fillId="0" borderId="0" xfId="95" applyFont="1" applyFill="1">
      <alignment/>
      <protection/>
    </xf>
    <xf numFmtId="0" fontId="43" fillId="0" borderId="0" xfId="107" applyFont="1" applyFill="1" applyAlignment="1">
      <alignment vertical="center" wrapText="1"/>
      <protection/>
    </xf>
    <xf numFmtId="0" fontId="69" fillId="0" borderId="0" xfId="89" applyFont="1" applyFill="1" applyAlignment="1">
      <alignment horizontal="justify"/>
      <protection/>
    </xf>
    <xf numFmtId="3" fontId="70" fillId="0" borderId="0" xfId="95" applyNumberFormat="1" applyFont="1" applyFill="1" applyAlignment="1">
      <alignment horizontal="center"/>
      <protection/>
    </xf>
    <xf numFmtId="187" fontId="71" fillId="0" borderId="0" xfId="95" applyNumberFormat="1" applyFont="1" applyFill="1">
      <alignment/>
      <protection/>
    </xf>
    <xf numFmtId="186" fontId="3" fillId="0" borderId="0" xfId="95" applyNumberFormat="1" applyFont="1" applyFill="1">
      <alignment/>
      <protection/>
    </xf>
    <xf numFmtId="0" fontId="5" fillId="0" borderId="0" xfId="105" applyFont="1" applyFill="1" applyAlignment="1">
      <alignment vertical="center"/>
      <protection/>
    </xf>
    <xf numFmtId="0" fontId="3" fillId="0" borderId="0" xfId="105" applyFont="1" applyFill="1" applyAlignment="1">
      <alignment vertical="top"/>
      <protection/>
    </xf>
    <xf numFmtId="2" fontId="7" fillId="0" borderId="30" xfId="0" applyNumberFormat="1" applyFont="1" applyFill="1" applyBorder="1" applyAlignment="1">
      <alignment horizontal="center" vertical="center" wrapText="1"/>
    </xf>
    <xf numFmtId="49" fontId="11" fillId="0" borderId="23" xfId="95" applyNumberFormat="1" applyFont="1" applyFill="1" applyBorder="1" applyAlignment="1">
      <alignment horizontal="center" vertical="center"/>
      <protection/>
    </xf>
    <xf numFmtId="0" fontId="11" fillId="0" borderId="27" xfId="95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105" applyFont="1" applyFill="1" applyAlignment="1">
      <alignment horizontal="center" vertical="center"/>
      <protection/>
    </xf>
    <xf numFmtId="0" fontId="3" fillId="0" borderId="0" xfId="105" applyFont="1" applyFill="1" applyAlignment="1">
      <alignment horizontal="center" vertical="top"/>
      <protection/>
    </xf>
    <xf numFmtId="198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" fillId="0" borderId="19" xfId="0" applyNumberFormat="1" applyFont="1" applyFill="1" applyBorder="1" applyAlignment="1">
      <alignment horizontal="center" vertical="center"/>
    </xf>
    <xf numFmtId="49" fontId="3" fillId="0" borderId="0" xfId="105" applyNumberFormat="1" applyFont="1" applyFill="1" applyBorder="1" applyAlignment="1">
      <alignment horizontal="center" vertical="center"/>
      <protection/>
    </xf>
    <xf numFmtId="0" fontId="3" fillId="0" borderId="0" xfId="105" applyFont="1" applyFill="1" applyBorder="1" applyAlignment="1">
      <alignment horizontal="center" vertical="center" wrapText="1"/>
      <protection/>
    </xf>
    <xf numFmtId="199" fontId="3" fillId="0" borderId="0" xfId="0" applyNumberFormat="1" applyFont="1" applyFill="1" applyAlignment="1">
      <alignment/>
    </xf>
    <xf numFmtId="0" fontId="4" fillId="0" borderId="0" xfId="105" applyFont="1" applyFill="1" applyBorder="1" applyAlignment="1">
      <alignment horizontal="center" vertical="center"/>
      <protection/>
    </xf>
    <xf numFmtId="0" fontId="7" fillId="0" borderId="0" xfId="98" applyFont="1" applyFill="1" applyBorder="1" applyAlignment="1">
      <alignment horizontal="center"/>
      <protection/>
    </xf>
    <xf numFmtId="0" fontId="3" fillId="0" borderId="0" xfId="100" applyFont="1" applyFill="1" applyBorder="1" applyAlignment="1">
      <alignment horizontal="center" vertical="center"/>
      <protection/>
    </xf>
    <xf numFmtId="0" fontId="3" fillId="0" borderId="0" xfId="100" applyFont="1" applyFill="1" applyBorder="1" applyAlignment="1">
      <alignment horizontal="center" vertical="center" wrapText="1"/>
      <protection/>
    </xf>
    <xf numFmtId="49" fontId="3" fillId="0" borderId="0" xfId="100" applyNumberFormat="1" applyFont="1" applyFill="1" applyBorder="1" applyAlignment="1">
      <alignment horizontal="center" vertical="center"/>
      <protection/>
    </xf>
    <xf numFmtId="0" fontId="3" fillId="0" borderId="19" xfId="100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center" vertical="center"/>
      <protection/>
    </xf>
    <xf numFmtId="0" fontId="3" fillId="0" borderId="27" xfId="100" applyFont="1" applyFill="1" applyBorder="1" applyAlignment="1">
      <alignment horizontal="center" vertical="center"/>
      <protection/>
    </xf>
    <xf numFmtId="0" fontId="7" fillId="0" borderId="0" xfId="100" applyFont="1" applyFill="1" applyBorder="1" applyAlignment="1">
      <alignment vertical="center"/>
      <protection/>
    </xf>
    <xf numFmtId="0" fontId="3" fillId="0" borderId="27" xfId="100" applyFont="1" applyFill="1" applyBorder="1" applyAlignment="1">
      <alignment horizontal="center" vertical="center" wrapText="1"/>
      <protection/>
    </xf>
    <xf numFmtId="0" fontId="3" fillId="0" borderId="24" xfId="100" applyFont="1" applyFill="1" applyBorder="1" applyAlignment="1">
      <alignment horizontal="center" vertical="center"/>
      <protection/>
    </xf>
    <xf numFmtId="0" fontId="3" fillId="0" borderId="23" xfId="100" applyFont="1" applyFill="1" applyBorder="1" applyAlignment="1">
      <alignment horizontal="center" vertical="center"/>
      <protection/>
    </xf>
    <xf numFmtId="190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9" xfId="105" applyFont="1" applyFill="1" applyBorder="1" applyAlignment="1">
      <alignment horizontal="center" vertical="center" wrapText="1"/>
      <protection/>
    </xf>
    <xf numFmtId="2" fontId="3" fillId="55" borderId="19" xfId="0" applyNumberFormat="1" applyFont="1" applyFill="1" applyBorder="1" applyAlignment="1">
      <alignment horizontal="left" vertical="center" wrapText="1"/>
    </xf>
    <xf numFmtId="2" fontId="7" fillId="55" borderId="19" xfId="0" applyNumberFormat="1" applyFont="1" applyFill="1" applyBorder="1" applyAlignment="1">
      <alignment horizontal="center"/>
    </xf>
    <xf numFmtId="1" fontId="3" fillId="55" borderId="19" xfId="0" applyNumberFormat="1" applyFont="1" applyFill="1" applyBorder="1" applyAlignment="1">
      <alignment horizontal="center" vertical="center"/>
    </xf>
    <xf numFmtId="2" fontId="3" fillId="55" borderId="19" xfId="105" applyNumberFormat="1" applyFont="1" applyFill="1" applyBorder="1" applyAlignment="1">
      <alignment horizontal="center" vertical="center" wrapText="1"/>
      <protection/>
    </xf>
    <xf numFmtId="2" fontId="7" fillId="55" borderId="19" xfId="0" applyNumberFormat="1" applyFont="1" applyFill="1" applyBorder="1" applyAlignment="1">
      <alignment horizontal="center" vertical="center"/>
    </xf>
    <xf numFmtId="1" fontId="3" fillId="55" borderId="19" xfId="105" applyNumberFormat="1" applyFont="1" applyFill="1" applyBorder="1" applyAlignment="1">
      <alignment horizontal="center" vertical="center" wrapText="1"/>
      <protection/>
    </xf>
    <xf numFmtId="14" fontId="3" fillId="55" borderId="19" xfId="105" applyNumberFormat="1" applyFont="1" applyFill="1" applyBorder="1" applyAlignment="1">
      <alignment horizontal="center" vertical="center" wrapText="1"/>
      <protection/>
    </xf>
    <xf numFmtId="2" fontId="7" fillId="55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/>
    </xf>
    <xf numFmtId="2" fontId="7" fillId="0" borderId="19" xfId="105" applyNumberFormat="1" applyFont="1" applyFill="1" applyBorder="1" applyAlignment="1">
      <alignment horizontal="center" vertical="center" wrapText="1"/>
      <protection/>
    </xf>
    <xf numFmtId="1" fontId="67" fillId="0" borderId="0" xfId="0" applyNumberFormat="1" applyFont="1" applyFill="1" applyAlignment="1">
      <alignment horizontal="center" wrapText="1"/>
    </xf>
    <xf numFmtId="0" fontId="5" fillId="0" borderId="19" xfId="0" applyFont="1" applyFill="1" applyBorder="1" applyAlignment="1">
      <alignment horizontal="left" vertical="center" wrapText="1"/>
    </xf>
    <xf numFmtId="2" fontId="14" fillId="0" borderId="19" xfId="0" applyNumberFormat="1" applyFont="1" applyFill="1" applyBorder="1" applyAlignment="1">
      <alignment horizontal="center"/>
    </xf>
    <xf numFmtId="1" fontId="7" fillId="0" borderId="19" xfId="105" applyNumberFormat="1" applyFont="1" applyFill="1" applyBorder="1" applyAlignment="1">
      <alignment horizontal="center" vertical="center" wrapText="1"/>
      <protection/>
    </xf>
    <xf numFmtId="2" fontId="7" fillId="0" borderId="27" xfId="105" applyNumberFormat="1" applyFont="1" applyFill="1" applyBorder="1" applyAlignment="1">
      <alignment horizontal="center" vertical="center" wrapText="1"/>
      <protection/>
    </xf>
    <xf numFmtId="186" fontId="3" fillId="0" borderId="19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 horizontal="left" vertical="center" wrapText="1"/>
    </xf>
    <xf numFmtId="2" fontId="7" fillId="0" borderId="20" xfId="0" applyNumberFormat="1" applyFont="1" applyFill="1" applyBorder="1" applyAlignment="1">
      <alignment horizontal="center" vertical="center"/>
    </xf>
    <xf numFmtId="2" fontId="15" fillId="0" borderId="19" xfId="124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17" fontId="3" fillId="0" borderId="19" xfId="105" applyNumberFormat="1" applyFont="1" applyFill="1" applyBorder="1" applyAlignment="1">
      <alignment horizontal="center" vertical="center" wrapText="1"/>
      <protection/>
    </xf>
    <xf numFmtId="196" fontId="67" fillId="0" borderId="0" xfId="0" applyNumberFormat="1" applyFont="1" applyFill="1" applyAlignment="1">
      <alignment/>
    </xf>
    <xf numFmtId="2" fontId="3" fillId="0" borderId="24" xfId="0" applyNumberFormat="1" applyFont="1" applyFill="1" applyBorder="1" applyAlignment="1">
      <alignment horizontal="center" wrapText="1"/>
    </xf>
    <xf numFmtId="2" fontId="7" fillId="0" borderId="31" xfId="0" applyNumberFormat="1" applyFont="1" applyFill="1" applyBorder="1" applyAlignment="1">
      <alignment horizontal="left" vertical="center" wrapText="1"/>
    </xf>
    <xf numFmtId="2" fontId="7" fillId="0" borderId="31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left" wrapText="1"/>
    </xf>
    <xf numFmtId="2" fontId="7" fillId="0" borderId="19" xfId="0" applyNumberFormat="1" applyFont="1" applyFill="1" applyBorder="1" applyAlignment="1">
      <alignment horizont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190" fontId="67" fillId="0" borderId="0" xfId="0" applyNumberFormat="1" applyFont="1" applyFill="1" applyAlignment="1">
      <alignment horizontal="center" wrapTex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19" xfId="95" applyFont="1" applyFill="1" applyBorder="1" applyAlignment="1">
      <alignment horizontal="left" vertical="center" wrapText="1" indent="3"/>
      <protection/>
    </xf>
    <xf numFmtId="0" fontId="3" fillId="0" borderId="19" xfId="0" applyFont="1" applyFill="1" applyBorder="1" applyAlignment="1">
      <alignment vertical="center"/>
    </xf>
    <xf numFmtId="0" fontId="3" fillId="0" borderId="19" xfId="95" applyFont="1" applyFill="1" applyBorder="1" applyAlignment="1">
      <alignment horizontal="left" vertical="center" wrapText="1" indent="5"/>
      <protection/>
    </xf>
    <xf numFmtId="0" fontId="3" fillId="0" borderId="31" xfId="0" applyFont="1" applyFill="1" applyBorder="1" applyAlignment="1">
      <alignment horizontal="left" vertical="center" wrapText="1" indent="1"/>
    </xf>
    <xf numFmtId="2" fontId="7" fillId="0" borderId="32" xfId="0" applyNumberFormat="1" applyFont="1" applyFill="1" applyBorder="1" applyAlignment="1">
      <alignment horizontal="left" vertical="center" wrapText="1"/>
    </xf>
    <xf numFmtId="2" fontId="7" fillId="0" borderId="32" xfId="0" applyNumberFormat="1" applyFont="1" applyFill="1" applyBorder="1" applyAlignment="1">
      <alignment horizontal="center" vertical="center"/>
    </xf>
    <xf numFmtId="1" fontId="7" fillId="0" borderId="32" xfId="105" applyNumberFormat="1" applyFont="1" applyFill="1" applyBorder="1" applyAlignment="1">
      <alignment horizontal="center" vertical="center" wrapText="1"/>
      <protection/>
    </xf>
    <xf numFmtId="2" fontId="7" fillId="0" borderId="32" xfId="105" applyNumberFormat="1" applyFont="1" applyFill="1" applyBorder="1" applyAlignment="1">
      <alignment horizontal="center" vertical="center" wrapText="1"/>
      <protection/>
    </xf>
    <xf numFmtId="198" fontId="67" fillId="0" borderId="0" xfId="0" applyNumberFormat="1" applyFont="1" applyFill="1" applyAlignment="1">
      <alignment horizontal="center"/>
    </xf>
    <xf numFmtId="190" fontId="67" fillId="0" borderId="0" xfId="0" applyNumberFormat="1" applyFont="1" applyFill="1" applyAlignment="1">
      <alignment/>
    </xf>
    <xf numFmtId="190" fontId="3" fillId="0" borderId="19" xfId="105" applyNumberFormat="1" applyFont="1" applyFill="1" applyBorder="1" applyAlignment="1">
      <alignment horizontal="center" vertical="center" wrapText="1"/>
      <protection/>
    </xf>
    <xf numFmtId="190" fontId="3" fillId="0" borderId="27" xfId="105" applyNumberFormat="1" applyFont="1" applyFill="1" applyBorder="1" applyAlignment="1">
      <alignment horizontal="center" vertical="center" wrapText="1"/>
      <protection/>
    </xf>
    <xf numFmtId="190" fontId="7" fillId="0" borderId="27" xfId="105" applyNumberFormat="1" applyFont="1" applyFill="1" applyBorder="1" applyAlignment="1">
      <alignment horizontal="center" vertical="center" wrapText="1"/>
      <protection/>
    </xf>
    <xf numFmtId="190" fontId="7" fillId="0" borderId="33" xfId="105" applyNumberFormat="1" applyFont="1" applyFill="1" applyBorder="1" applyAlignment="1">
      <alignment horizontal="center" vertical="center" wrapText="1"/>
      <protection/>
    </xf>
    <xf numFmtId="190" fontId="3" fillId="0" borderId="19" xfId="0" applyNumberFormat="1" applyFont="1" applyFill="1" applyBorder="1" applyAlignment="1">
      <alignment horizontal="center" vertical="center"/>
    </xf>
    <xf numFmtId="190" fontId="3" fillId="0" borderId="19" xfId="0" applyNumberFormat="1" applyFont="1" applyFill="1" applyBorder="1" applyAlignment="1">
      <alignment/>
    </xf>
    <xf numFmtId="190" fontId="3" fillId="0" borderId="19" xfId="0" applyNumberFormat="1" applyFont="1" applyFill="1" applyBorder="1" applyAlignment="1">
      <alignment horizontal="center"/>
    </xf>
    <xf numFmtId="190" fontId="3" fillId="0" borderId="27" xfId="0" applyNumberFormat="1" applyFont="1" applyFill="1" applyBorder="1" applyAlignment="1">
      <alignment/>
    </xf>
    <xf numFmtId="190" fontId="3" fillId="0" borderId="27" xfId="0" applyNumberFormat="1" applyFont="1" applyFill="1" applyBorder="1" applyAlignment="1">
      <alignment horizont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27" xfId="0" applyNumberFormat="1" applyFont="1" applyFill="1" applyBorder="1" applyAlignment="1">
      <alignment horizontal="center" vertical="center"/>
    </xf>
    <xf numFmtId="190" fontId="3" fillId="0" borderId="19" xfId="124" applyNumberFormat="1" applyFont="1" applyFill="1" applyBorder="1" applyAlignment="1">
      <alignment horizontal="center" vertical="center" wrapText="1"/>
    </xf>
    <xf numFmtId="190" fontId="17" fillId="0" borderId="31" xfId="124" applyNumberFormat="1" applyFont="1" applyFill="1" applyBorder="1" applyAlignment="1">
      <alignment horizontal="center" vertical="center" wrapText="1"/>
    </xf>
    <xf numFmtId="190" fontId="17" fillId="0" borderId="34" xfId="124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wrapText="1"/>
    </xf>
    <xf numFmtId="190" fontId="7" fillId="0" borderId="31" xfId="0" applyNumberFormat="1" applyFont="1" applyFill="1" applyBorder="1" applyAlignment="1">
      <alignment horizontal="center"/>
    </xf>
    <xf numFmtId="190" fontId="7" fillId="0" borderId="34" xfId="0" applyNumberFormat="1" applyFont="1" applyFill="1" applyBorder="1" applyAlignment="1">
      <alignment horizontal="center"/>
    </xf>
    <xf numFmtId="196" fontId="3" fillId="0" borderId="19" xfId="95" applyNumberFormat="1" applyFont="1" applyFill="1" applyBorder="1" applyAlignment="1">
      <alignment horizontal="center" vertical="center" wrapText="1"/>
      <protection/>
    </xf>
    <xf numFmtId="196" fontId="3" fillId="0" borderId="27" xfId="95" applyNumberFormat="1" applyFont="1" applyFill="1" applyBorder="1" applyAlignment="1">
      <alignment horizontal="center" vertical="center" wrapText="1"/>
      <protection/>
    </xf>
    <xf numFmtId="196" fontId="3" fillId="0" borderId="31" xfId="95" applyNumberFormat="1" applyFont="1" applyFill="1" applyBorder="1" applyAlignment="1">
      <alignment horizontal="center" vertical="center" wrapText="1"/>
      <protection/>
    </xf>
    <xf numFmtId="196" fontId="3" fillId="0" borderId="34" xfId="95" applyNumberFormat="1" applyFont="1" applyFill="1" applyBorder="1" applyAlignment="1">
      <alignment horizontal="center" vertical="center" wrapText="1"/>
      <protection/>
    </xf>
    <xf numFmtId="4" fontId="7" fillId="0" borderId="0" xfId="95" applyNumberFormat="1" applyFont="1" applyFill="1">
      <alignment/>
      <protection/>
    </xf>
    <xf numFmtId="195" fontId="3" fillId="0" borderId="0" xfId="0" applyNumberFormat="1" applyFont="1" applyFill="1" applyAlignment="1">
      <alignment horizontal="center"/>
    </xf>
    <xf numFmtId="218" fontId="3" fillId="0" borderId="0" xfId="0" applyNumberFormat="1" applyFont="1" applyFill="1" applyAlignment="1">
      <alignment vertical="top" wrapText="1"/>
    </xf>
    <xf numFmtId="186" fontId="3" fillId="0" borderId="0" xfId="0" applyNumberFormat="1" applyFont="1" applyFill="1" applyAlignment="1">
      <alignment/>
    </xf>
    <xf numFmtId="4" fontId="3" fillId="0" borderId="19" xfId="95" applyNumberFormat="1" applyFont="1" applyFill="1" applyBorder="1" applyAlignment="1">
      <alignment horizontal="center" vertical="center" wrapText="1"/>
      <protection/>
    </xf>
    <xf numFmtId="4" fontId="3" fillId="0" borderId="27" xfId="95" applyNumberFormat="1" applyFont="1" applyFill="1" applyBorder="1" applyAlignment="1">
      <alignment horizontal="center" vertical="center" wrapText="1"/>
      <protection/>
    </xf>
    <xf numFmtId="222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105" applyFont="1" applyFill="1" applyAlignment="1">
      <alignment horizontal="center" vertical="center"/>
      <protection/>
    </xf>
    <xf numFmtId="0" fontId="3" fillId="0" borderId="0" xfId="105" applyFont="1" applyFill="1" applyAlignment="1">
      <alignment horizontal="center" vertical="top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3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9" fillId="0" borderId="0" xfId="105" applyFont="1" applyFill="1" applyAlignment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9" xfId="100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center" vertical="center"/>
      <protection/>
    </xf>
    <xf numFmtId="0" fontId="3" fillId="0" borderId="27" xfId="100" applyFont="1" applyFill="1" applyBorder="1" applyAlignment="1">
      <alignment horizontal="center" vertical="center"/>
      <protection/>
    </xf>
    <xf numFmtId="0" fontId="3" fillId="0" borderId="28" xfId="100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/>
    </xf>
    <xf numFmtId="0" fontId="3" fillId="0" borderId="28" xfId="108" applyFont="1" applyFill="1" applyBorder="1" applyAlignment="1">
      <alignment horizontal="center" vertical="center" wrapText="1"/>
      <protection/>
    </xf>
    <xf numFmtId="0" fontId="3" fillId="0" borderId="28" xfId="108" applyFont="1" applyFill="1" applyBorder="1" applyAlignment="1">
      <alignment horizontal="center" vertical="center"/>
      <protection/>
    </xf>
    <xf numFmtId="0" fontId="3" fillId="0" borderId="29" xfId="108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0" xfId="98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5" xfId="100" applyFont="1" applyFill="1" applyBorder="1" applyAlignment="1">
      <alignment horizontal="center" vertical="center" wrapText="1"/>
      <protection/>
    </xf>
    <xf numFmtId="0" fontId="3" fillId="0" borderId="24" xfId="100" applyFont="1" applyFill="1" applyBorder="1" applyAlignment="1">
      <alignment horizontal="center" vertical="center" wrapText="1"/>
      <protection/>
    </xf>
    <xf numFmtId="0" fontId="3" fillId="0" borderId="19" xfId="105" applyFont="1" applyFill="1" applyBorder="1" applyAlignment="1">
      <alignment horizontal="center" vertical="center" wrapText="1"/>
      <protection/>
    </xf>
    <xf numFmtId="0" fontId="7" fillId="0" borderId="0" xfId="108" applyFont="1" applyFill="1" applyBorder="1" applyAlignment="1">
      <alignment horizontal="center"/>
      <protection/>
    </xf>
    <xf numFmtId="0" fontId="3" fillId="0" borderId="39" xfId="100" applyFont="1" applyFill="1" applyBorder="1" applyAlignment="1">
      <alignment horizontal="center" vertical="center" wrapText="1"/>
      <protection/>
    </xf>
    <xf numFmtId="0" fontId="3" fillId="0" borderId="40" xfId="100" applyFont="1" applyFill="1" applyBorder="1" applyAlignment="1">
      <alignment horizontal="center" vertical="center" wrapText="1"/>
      <protection/>
    </xf>
    <xf numFmtId="0" fontId="3" fillId="0" borderId="41" xfId="100" applyFont="1" applyFill="1" applyBorder="1" applyAlignment="1">
      <alignment horizontal="center" vertical="center" wrapText="1"/>
      <protection/>
    </xf>
    <xf numFmtId="0" fontId="3" fillId="0" borderId="27" xfId="10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42" xfId="100" applyFont="1" applyFill="1" applyBorder="1" applyAlignment="1">
      <alignment horizontal="center" vertical="center" wrapText="1"/>
      <protection/>
    </xf>
    <xf numFmtId="0" fontId="3" fillId="0" borderId="21" xfId="100" applyFont="1" applyFill="1" applyBorder="1" applyAlignment="1">
      <alignment horizontal="center" vertical="center" wrapText="1"/>
      <protection/>
    </xf>
    <xf numFmtId="0" fontId="3" fillId="0" borderId="20" xfId="100" applyFont="1" applyFill="1" applyBorder="1" applyAlignment="1">
      <alignment horizontal="center" vertical="center" wrapText="1"/>
      <protection/>
    </xf>
    <xf numFmtId="0" fontId="3" fillId="0" borderId="28" xfId="100" applyFont="1" applyFill="1" applyBorder="1" applyAlignment="1">
      <alignment horizontal="center" vertical="center"/>
      <protection/>
    </xf>
    <xf numFmtId="0" fontId="3" fillId="0" borderId="29" xfId="100" applyFont="1" applyFill="1" applyBorder="1" applyAlignment="1">
      <alignment horizontal="center" vertical="center"/>
      <protection/>
    </xf>
    <xf numFmtId="49" fontId="3" fillId="0" borderId="0" xfId="95" applyNumberFormat="1" applyFont="1" applyFill="1" applyAlignment="1">
      <alignment horizontal="left" vertical="center" wrapText="1"/>
      <protection/>
    </xf>
    <xf numFmtId="0" fontId="3" fillId="0" borderId="0" xfId="95" applyFont="1" applyFill="1" applyAlignment="1">
      <alignment horizontal="left" vertical="top" wrapText="1"/>
      <protection/>
    </xf>
    <xf numFmtId="0" fontId="16" fillId="0" borderId="0" xfId="95" applyFont="1" applyFill="1" applyBorder="1" applyAlignment="1">
      <alignment horizontal="center" vertical="center" wrapText="1"/>
      <protection/>
    </xf>
    <xf numFmtId="0" fontId="13" fillId="0" borderId="0" xfId="95" applyFont="1" applyFill="1" applyAlignment="1">
      <alignment horizontal="center"/>
      <protection/>
    </xf>
    <xf numFmtId="49" fontId="9" fillId="0" borderId="35" xfId="95" applyNumberFormat="1" applyFont="1" applyFill="1" applyBorder="1" applyAlignment="1">
      <alignment horizontal="center" vertical="center" wrapText="1"/>
      <protection/>
    </xf>
    <xf numFmtId="49" fontId="9" fillId="0" borderId="24" xfId="95" applyNumberFormat="1" applyFont="1" applyFill="1" applyBorder="1" applyAlignment="1">
      <alignment horizontal="center" vertical="center" wrapText="1"/>
      <protection/>
    </xf>
    <xf numFmtId="0" fontId="10" fillId="0" borderId="28" xfId="95" applyFont="1" applyFill="1" applyBorder="1" applyAlignment="1">
      <alignment horizontal="center" vertical="center" wrapText="1"/>
      <protection/>
    </xf>
    <xf numFmtId="0" fontId="10" fillId="0" borderId="19" xfId="95" applyFont="1" applyFill="1" applyBorder="1" applyAlignment="1">
      <alignment horizontal="center" vertical="center" wrapText="1"/>
      <protection/>
    </xf>
    <xf numFmtId="0" fontId="7" fillId="0" borderId="24" xfId="95" applyFont="1" applyFill="1" applyBorder="1" applyAlignment="1">
      <alignment horizontal="left" vertical="center" wrapText="1"/>
      <protection/>
    </xf>
    <xf numFmtId="0" fontId="7" fillId="0" borderId="19" xfId="95" applyFont="1" applyFill="1" applyBorder="1" applyAlignment="1">
      <alignment horizontal="left" vertical="center" wrapText="1"/>
      <protection/>
    </xf>
    <xf numFmtId="0" fontId="66" fillId="0" borderId="0" xfId="98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95" applyFont="1" applyFill="1" applyBorder="1" applyAlignment="1">
      <alignment horizontal="center" vertical="center" wrapText="1"/>
      <protection/>
    </xf>
    <xf numFmtId="0" fontId="69" fillId="0" borderId="0" xfId="89" applyFont="1" applyFill="1" applyAlignment="1">
      <alignment horizontal="center" vertical="center"/>
      <protection/>
    </xf>
    <xf numFmtId="0" fontId="72" fillId="0" borderId="0" xfId="89" applyFont="1" applyFill="1" applyAlignment="1">
      <alignment horizontal="center" vertical="top"/>
      <protection/>
    </xf>
    <xf numFmtId="49" fontId="8" fillId="0" borderId="0" xfId="95" applyNumberFormat="1" applyFont="1" applyFill="1" applyAlignment="1">
      <alignment horizontal="center" vertical="center"/>
      <protection/>
    </xf>
    <xf numFmtId="3" fontId="3" fillId="0" borderId="27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2 2" xfId="90"/>
    <cellStyle name="Обычный 2" xfId="91"/>
    <cellStyle name="Обычный 2 2" xfId="92"/>
    <cellStyle name="Обычный 2 3" xfId="93"/>
    <cellStyle name="Обычный 3" xfId="94"/>
    <cellStyle name="Обычный 3 2" xfId="95"/>
    <cellStyle name="Обычный 3 2 2 2" xfId="96"/>
    <cellStyle name="Обычный 3 21" xfId="97"/>
    <cellStyle name="Обычный 4" xfId="98"/>
    <cellStyle name="Обычный 4 2" xfId="99"/>
    <cellStyle name="Обычный 5" xfId="100"/>
    <cellStyle name="Обычный 6" xfId="101"/>
    <cellStyle name="Обычный 6 2" xfId="102"/>
    <cellStyle name="Обычный 6 2 2" xfId="103"/>
    <cellStyle name="Обычный 6 2 3" xfId="104"/>
    <cellStyle name="Обычный 7" xfId="105"/>
    <cellStyle name="Обычный 7 2" xfId="106"/>
    <cellStyle name="Обычный 8" xfId="107"/>
    <cellStyle name="Обычный_Форматы по компаниям_last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Процентный 2" xfId="117"/>
    <cellStyle name="Процентный 3" xfId="118"/>
    <cellStyle name="Связанная ячейка" xfId="119"/>
    <cellStyle name="Связанная ячейка 2" xfId="120"/>
    <cellStyle name="Стиль 1" xfId="121"/>
    <cellStyle name="Текст предупреждения" xfId="122"/>
    <cellStyle name="Текст предупреждения 2" xfId="123"/>
    <cellStyle name="Comma" xfId="124"/>
    <cellStyle name="Comma [0]" xfId="125"/>
    <cellStyle name="Финансовый 2" xfId="126"/>
    <cellStyle name="Финансовый 2 2" xfId="127"/>
    <cellStyle name="Финансовый 2 2 2 2 2" xfId="128"/>
    <cellStyle name="Финансовый 3" xfId="129"/>
    <cellStyle name="Хороший" xfId="130"/>
    <cellStyle name="Хороший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BC48"/>
  <sheetViews>
    <sheetView view="pageBreakPreview" zoomScale="80" zoomScaleNormal="70" zoomScaleSheetLayoutView="80" zoomScalePageLayoutView="0" workbookViewId="0" topLeftCell="A7">
      <pane xSplit="2" ySplit="6" topLeftCell="C13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B29" sqref="B29"/>
    </sheetView>
  </sheetViews>
  <sheetFormatPr defaultColWidth="9.00390625" defaultRowHeight="12.75"/>
  <cols>
    <col min="1" max="1" width="12.125" style="1" customWidth="1"/>
    <col min="2" max="2" width="99.125" style="1" customWidth="1"/>
    <col min="3" max="3" width="15.375" style="1" customWidth="1"/>
    <col min="4" max="4" width="15.25390625" style="1" customWidth="1"/>
    <col min="5" max="5" width="14.625" style="1" customWidth="1"/>
    <col min="6" max="6" width="8.75390625" style="1" customWidth="1"/>
    <col min="7" max="7" width="12.25390625" style="1" customWidth="1"/>
    <col min="8" max="8" width="17.00390625" style="1" customWidth="1"/>
    <col min="9" max="9" width="15.875" style="1" customWidth="1"/>
    <col min="10" max="10" width="19.00390625" style="1" customWidth="1"/>
    <col min="11" max="11" width="11.875" style="1" customWidth="1"/>
    <col min="12" max="12" width="6.125" style="1" customWidth="1"/>
    <col min="13" max="13" width="10.875" style="1" customWidth="1"/>
    <col min="14" max="14" width="14.00390625" style="1" customWidth="1"/>
    <col min="15" max="15" width="8.00390625" style="29" customWidth="1"/>
    <col min="16" max="17" width="8.75390625" style="29" customWidth="1"/>
    <col min="18" max="18" width="9.375" style="1" customWidth="1"/>
    <col min="19" max="19" width="11.625" style="1" customWidth="1"/>
    <col min="20" max="20" width="8.125" style="1" bestFit="1" customWidth="1"/>
    <col min="21" max="21" width="10.125" style="1" bestFit="1" customWidth="1"/>
    <col min="22" max="22" width="13.125" style="1" bestFit="1" customWidth="1"/>
    <col min="23" max="23" width="6.75390625" style="29" bestFit="1" customWidth="1"/>
    <col min="24" max="24" width="8.00390625" style="29" bestFit="1" customWidth="1"/>
    <col min="25" max="25" width="7.125" style="29" bestFit="1" customWidth="1"/>
    <col min="26" max="26" width="5.00390625" style="1" bestFit="1" customWidth="1"/>
    <col min="27" max="27" width="8.00390625" style="1" bestFit="1" customWidth="1"/>
    <col min="28" max="28" width="5.00390625" style="1" bestFit="1" customWidth="1"/>
    <col min="29" max="29" width="10.125" style="1" bestFit="1" customWidth="1"/>
    <col min="30" max="30" width="13.125" style="1" bestFit="1" customWidth="1"/>
    <col min="31" max="31" width="6.75390625" style="29" bestFit="1" customWidth="1"/>
    <col min="32" max="32" width="8.00390625" style="29" bestFit="1" customWidth="1"/>
    <col min="33" max="33" width="7.125" style="29" bestFit="1" customWidth="1"/>
    <col min="34" max="34" width="5.00390625" style="1" bestFit="1" customWidth="1"/>
    <col min="35" max="35" width="8.00390625" style="1" bestFit="1" customWidth="1"/>
    <col min="36" max="36" width="5.625" style="1" bestFit="1" customWidth="1"/>
    <col min="37" max="37" width="10.125" style="1" bestFit="1" customWidth="1"/>
    <col min="38" max="38" width="13.125" style="1" bestFit="1" customWidth="1"/>
    <col min="39" max="41" width="8.00390625" style="29" bestFit="1" customWidth="1"/>
    <col min="42" max="42" width="10.25390625" style="1" customWidth="1"/>
    <col min="43" max="43" width="39.00390625" style="1" customWidth="1"/>
    <col min="44" max="44" width="10.625" style="1" customWidth="1"/>
    <col min="45" max="49" width="9.125" style="1" customWidth="1"/>
    <col min="50" max="50" width="10.875" style="1" bestFit="1" customWidth="1"/>
    <col min="51" max="16384" width="9.125" style="1" customWidth="1"/>
  </cols>
  <sheetData>
    <row r="1" spans="15:42" ht="18.75">
      <c r="O1" s="1"/>
      <c r="P1" s="1"/>
      <c r="Q1" s="1"/>
      <c r="W1" s="1"/>
      <c r="X1" s="1"/>
      <c r="Y1" s="1"/>
      <c r="AE1" s="1"/>
      <c r="AF1" s="1"/>
      <c r="AG1" s="1"/>
      <c r="AM1" s="1"/>
      <c r="AN1" s="1"/>
      <c r="AO1" s="1"/>
      <c r="AP1" s="2" t="s">
        <v>21</v>
      </c>
    </row>
    <row r="2" spans="15:42" ht="18.75">
      <c r="O2" s="1"/>
      <c r="P2" s="1"/>
      <c r="Q2" s="1"/>
      <c r="W2" s="1"/>
      <c r="X2" s="1"/>
      <c r="Y2" s="1"/>
      <c r="AE2" s="1"/>
      <c r="AF2" s="1"/>
      <c r="AG2" s="1"/>
      <c r="AM2" s="1"/>
      <c r="AN2" s="1"/>
      <c r="AO2" s="1"/>
      <c r="AP2" s="3"/>
    </row>
    <row r="3" spans="1:41" ht="18.75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13"/>
      <c r="AB3" s="13"/>
      <c r="AC3" s="13"/>
      <c r="AD3" s="13"/>
      <c r="AE3" s="13"/>
      <c r="AF3" s="13"/>
      <c r="AG3" s="13"/>
      <c r="AH3" s="13"/>
      <c r="AM3" s="1"/>
      <c r="AN3" s="1"/>
      <c r="AO3" s="1"/>
    </row>
    <row r="4" spans="1:42" ht="18.75">
      <c r="A4" s="206" t="s">
        <v>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14"/>
      <c r="AB4" s="14"/>
      <c r="AC4" s="14"/>
      <c r="AD4" s="14"/>
      <c r="AE4" s="14"/>
      <c r="AF4" s="14"/>
      <c r="AG4" s="14"/>
      <c r="AH4" s="14"/>
      <c r="AI4" s="4"/>
      <c r="AJ4" s="4"/>
      <c r="AK4" s="4"/>
      <c r="AL4" s="4"/>
      <c r="AM4" s="4"/>
      <c r="AN4" s="4"/>
      <c r="AO4" s="4"/>
      <c r="AP4" s="4"/>
    </row>
    <row r="5" spans="1:42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"/>
      <c r="AJ5" s="4"/>
      <c r="AK5" s="4"/>
      <c r="AL5" s="4"/>
      <c r="AM5" s="4"/>
      <c r="AN5" s="4"/>
      <c r="AO5" s="4"/>
      <c r="AP5" s="4"/>
    </row>
    <row r="6" spans="1:42" ht="18.75">
      <c r="A6" s="207" t="s">
        <v>194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110"/>
      <c r="AB6" s="110"/>
      <c r="AC6" s="110"/>
      <c r="AD6" s="110"/>
      <c r="AE6" s="110"/>
      <c r="AF6" s="110"/>
      <c r="AG6" s="110"/>
      <c r="AH6" s="110"/>
      <c r="AI6" s="102"/>
      <c r="AJ6" s="102"/>
      <c r="AK6" s="102"/>
      <c r="AL6" s="102"/>
      <c r="AM6" s="102"/>
      <c r="AN6" s="102"/>
      <c r="AO6" s="102"/>
      <c r="AP6" s="102"/>
    </row>
    <row r="7" spans="1:42" ht="18.75" customHeight="1">
      <c r="A7" s="208" t="s">
        <v>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111"/>
      <c r="AB7" s="111"/>
      <c r="AC7" s="111"/>
      <c r="AD7" s="111"/>
      <c r="AE7" s="111"/>
      <c r="AF7" s="111"/>
      <c r="AG7" s="111"/>
      <c r="AH7" s="111"/>
      <c r="AI7" s="103"/>
      <c r="AJ7" s="103"/>
      <c r="AK7" s="103"/>
      <c r="AL7" s="103"/>
      <c r="AM7" s="103"/>
      <c r="AN7" s="103"/>
      <c r="AO7" s="103"/>
      <c r="AP7" s="103"/>
    </row>
    <row r="8" spans="5:41" ht="16.5" thickBot="1">
      <c r="E8" s="55"/>
      <c r="J8" s="201"/>
      <c r="O8" s="1"/>
      <c r="P8" s="1"/>
      <c r="Q8" s="1"/>
      <c r="V8" s="55"/>
      <c r="W8" s="1"/>
      <c r="X8" s="1"/>
      <c r="Y8" s="1"/>
      <c r="AE8" s="1"/>
      <c r="AF8" s="1"/>
      <c r="AG8" s="1"/>
      <c r="AM8" s="1"/>
      <c r="AN8" s="1"/>
      <c r="AO8" s="1"/>
    </row>
    <row r="9" spans="1:42" ht="64.5" customHeight="1">
      <c r="A9" s="209" t="s">
        <v>3</v>
      </c>
      <c r="B9" s="217" t="s">
        <v>4</v>
      </c>
      <c r="C9" s="217" t="s">
        <v>5</v>
      </c>
      <c r="D9" s="215" t="s">
        <v>6</v>
      </c>
      <c r="E9" s="217" t="s">
        <v>7</v>
      </c>
      <c r="F9" s="217" t="s">
        <v>8</v>
      </c>
      <c r="G9" s="217"/>
      <c r="H9" s="217"/>
      <c r="I9" s="217" t="s">
        <v>9</v>
      </c>
      <c r="J9" s="217" t="s">
        <v>10</v>
      </c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9"/>
    </row>
    <row r="10" spans="1:42" ht="63.75" customHeight="1">
      <c r="A10" s="210"/>
      <c r="B10" s="218"/>
      <c r="C10" s="218"/>
      <c r="D10" s="216"/>
      <c r="E10" s="218"/>
      <c r="F10" s="211" t="s">
        <v>11</v>
      </c>
      <c r="G10" s="212"/>
      <c r="H10" s="213"/>
      <c r="I10" s="218"/>
      <c r="J10" s="218"/>
      <c r="K10" s="211" t="s">
        <v>177</v>
      </c>
      <c r="L10" s="212"/>
      <c r="M10" s="212"/>
      <c r="N10" s="212"/>
      <c r="O10" s="212"/>
      <c r="P10" s="212"/>
      <c r="Q10" s="212"/>
      <c r="R10" s="213"/>
      <c r="S10" s="211" t="s">
        <v>116</v>
      </c>
      <c r="T10" s="212"/>
      <c r="U10" s="212"/>
      <c r="V10" s="212"/>
      <c r="W10" s="212"/>
      <c r="X10" s="212"/>
      <c r="Y10" s="212"/>
      <c r="Z10" s="213"/>
      <c r="AA10" s="211" t="s">
        <v>178</v>
      </c>
      <c r="AB10" s="212"/>
      <c r="AC10" s="212"/>
      <c r="AD10" s="212"/>
      <c r="AE10" s="212"/>
      <c r="AF10" s="212"/>
      <c r="AG10" s="212"/>
      <c r="AH10" s="213"/>
      <c r="AI10" s="211" t="s">
        <v>12</v>
      </c>
      <c r="AJ10" s="212"/>
      <c r="AK10" s="212"/>
      <c r="AL10" s="212"/>
      <c r="AM10" s="212"/>
      <c r="AN10" s="212"/>
      <c r="AO10" s="212"/>
      <c r="AP10" s="222"/>
    </row>
    <row r="11" spans="1:42" ht="203.25" customHeight="1">
      <c r="A11" s="210"/>
      <c r="B11" s="218"/>
      <c r="C11" s="218"/>
      <c r="D11" s="216"/>
      <c r="E11" s="8" t="s">
        <v>13</v>
      </c>
      <c r="F11" s="7" t="s">
        <v>14</v>
      </c>
      <c r="G11" s="7" t="s">
        <v>15</v>
      </c>
      <c r="H11" s="7" t="s">
        <v>16</v>
      </c>
      <c r="I11" s="9" t="s">
        <v>11</v>
      </c>
      <c r="J11" s="7" t="s">
        <v>222</v>
      </c>
      <c r="K11" s="7" t="s">
        <v>17</v>
      </c>
      <c r="L11" s="7" t="s">
        <v>18</v>
      </c>
      <c r="M11" s="7" t="s">
        <v>19</v>
      </c>
      <c r="N11" s="9" t="s">
        <v>143</v>
      </c>
      <c r="O11" s="9" t="s">
        <v>141</v>
      </c>
      <c r="P11" s="9" t="s">
        <v>142</v>
      </c>
      <c r="Q11" s="9" t="s">
        <v>145</v>
      </c>
      <c r="R11" s="9" t="s">
        <v>20</v>
      </c>
      <c r="S11" s="7" t="s">
        <v>17</v>
      </c>
      <c r="T11" s="7" t="s">
        <v>18</v>
      </c>
      <c r="U11" s="7" t="s">
        <v>19</v>
      </c>
      <c r="V11" s="9" t="s">
        <v>143</v>
      </c>
      <c r="W11" s="9" t="s">
        <v>141</v>
      </c>
      <c r="X11" s="9" t="s">
        <v>142</v>
      </c>
      <c r="Y11" s="9" t="s">
        <v>145</v>
      </c>
      <c r="Z11" s="9" t="s">
        <v>20</v>
      </c>
      <c r="AA11" s="7" t="s">
        <v>17</v>
      </c>
      <c r="AB11" s="7" t="s">
        <v>18</v>
      </c>
      <c r="AC11" s="7" t="s">
        <v>19</v>
      </c>
      <c r="AD11" s="9" t="s">
        <v>143</v>
      </c>
      <c r="AE11" s="9" t="s">
        <v>141</v>
      </c>
      <c r="AF11" s="9" t="s">
        <v>142</v>
      </c>
      <c r="AG11" s="9" t="s">
        <v>145</v>
      </c>
      <c r="AH11" s="9" t="s">
        <v>20</v>
      </c>
      <c r="AI11" s="7" t="s">
        <v>17</v>
      </c>
      <c r="AJ11" s="7" t="s">
        <v>18</v>
      </c>
      <c r="AK11" s="7" t="s">
        <v>19</v>
      </c>
      <c r="AL11" s="9" t="s">
        <v>143</v>
      </c>
      <c r="AM11" s="9" t="s">
        <v>141</v>
      </c>
      <c r="AN11" s="9" t="s">
        <v>142</v>
      </c>
      <c r="AO11" s="9" t="s">
        <v>145</v>
      </c>
      <c r="AP11" s="67" t="s">
        <v>20</v>
      </c>
    </row>
    <row r="12" spans="1:42" ht="19.5" customHeight="1">
      <c r="A12" s="6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10" t="s">
        <v>146</v>
      </c>
      <c r="L12" s="10" t="s">
        <v>147</v>
      </c>
      <c r="M12" s="10" t="s">
        <v>148</v>
      </c>
      <c r="N12" s="10" t="s">
        <v>149</v>
      </c>
      <c r="O12" s="10" t="s">
        <v>165</v>
      </c>
      <c r="P12" s="10" t="s">
        <v>166</v>
      </c>
      <c r="Q12" s="10" t="s">
        <v>150</v>
      </c>
      <c r="R12" s="10" t="s">
        <v>151</v>
      </c>
      <c r="S12" s="10">
        <v>12</v>
      </c>
      <c r="T12" s="10" t="s">
        <v>152</v>
      </c>
      <c r="U12" s="10" t="s">
        <v>85</v>
      </c>
      <c r="V12" s="10" t="s">
        <v>86</v>
      </c>
      <c r="W12" s="10" t="s">
        <v>168</v>
      </c>
      <c r="X12" s="10" t="s">
        <v>169</v>
      </c>
      <c r="Y12" s="10" t="s">
        <v>87</v>
      </c>
      <c r="Z12" s="10" t="s">
        <v>153</v>
      </c>
      <c r="AA12" s="10" t="s">
        <v>154</v>
      </c>
      <c r="AB12" s="10" t="s">
        <v>155</v>
      </c>
      <c r="AC12" s="10" t="s">
        <v>156</v>
      </c>
      <c r="AD12" s="10" t="s">
        <v>157</v>
      </c>
      <c r="AE12" s="10" t="s">
        <v>170</v>
      </c>
      <c r="AF12" s="10" t="s">
        <v>171</v>
      </c>
      <c r="AG12" s="10" t="s">
        <v>158</v>
      </c>
      <c r="AH12" s="10" t="s">
        <v>159</v>
      </c>
      <c r="AI12" s="10" t="s">
        <v>167</v>
      </c>
      <c r="AJ12" s="10" t="s">
        <v>160</v>
      </c>
      <c r="AK12" s="10" t="s">
        <v>161</v>
      </c>
      <c r="AL12" s="10" t="s">
        <v>162</v>
      </c>
      <c r="AM12" s="10" t="s">
        <v>172</v>
      </c>
      <c r="AN12" s="10" t="s">
        <v>173</v>
      </c>
      <c r="AO12" s="10" t="s">
        <v>163</v>
      </c>
      <c r="AP12" s="76" t="s">
        <v>164</v>
      </c>
    </row>
    <row r="13" spans="1:43" s="35" customFormat="1" ht="15.75">
      <c r="A13" s="68" t="s">
        <v>132</v>
      </c>
      <c r="B13" s="43" t="s">
        <v>108</v>
      </c>
      <c r="C13" s="36"/>
      <c r="D13" s="149"/>
      <c r="E13" s="149"/>
      <c r="F13" s="145"/>
      <c r="G13" s="37"/>
      <c r="H13" s="6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50"/>
      <c r="AQ13" s="1"/>
    </row>
    <row r="14" spans="1:55" ht="15.75">
      <c r="A14" s="69" t="s">
        <v>110</v>
      </c>
      <c r="B14" s="38" t="s">
        <v>200</v>
      </c>
      <c r="C14" s="36" t="s">
        <v>204</v>
      </c>
      <c r="D14" s="41">
        <v>2022</v>
      </c>
      <c r="E14" s="41">
        <v>2022</v>
      </c>
      <c r="F14" s="37"/>
      <c r="G14" s="37">
        <v>0.234</v>
      </c>
      <c r="H14" s="60">
        <v>44300</v>
      </c>
      <c r="I14" s="37">
        <f>G14*1.04</f>
        <v>0.24336000000000002</v>
      </c>
      <c r="J14" s="37">
        <f>I14</f>
        <v>0.24336000000000002</v>
      </c>
      <c r="K14" s="177">
        <f>SUM(L14:N14)+R14</f>
        <v>0</v>
      </c>
      <c r="L14" s="177"/>
      <c r="M14" s="177"/>
      <c r="N14" s="177">
        <f>SUM(O14:Q14)</f>
        <v>0</v>
      </c>
      <c r="O14" s="177"/>
      <c r="P14" s="177"/>
      <c r="Q14" s="177"/>
      <c r="R14" s="177"/>
      <c r="S14" s="37">
        <f>SUM(T14:V14)+Z14</f>
        <v>0.24336000000000002</v>
      </c>
      <c r="T14" s="37"/>
      <c r="U14" s="37"/>
      <c r="V14" s="37">
        <f>J14</f>
        <v>0.24336000000000002</v>
      </c>
      <c r="W14" s="37">
        <v>0.2028</v>
      </c>
      <c r="X14" s="37">
        <f>V14-W14-Y14</f>
        <v>0</v>
      </c>
      <c r="Y14" s="37">
        <f>J14/1.2*0.2</f>
        <v>0.04056000000000001</v>
      </c>
      <c r="Z14" s="37"/>
      <c r="AA14" s="37">
        <f>SUM(AB14:AD14)+AH14</f>
        <v>0</v>
      </c>
      <c r="AB14" s="37"/>
      <c r="AC14" s="37"/>
      <c r="AD14" s="37">
        <f>SUM(AE14:AG14)</f>
        <v>0</v>
      </c>
      <c r="AE14" s="37"/>
      <c r="AF14" s="37"/>
      <c r="AG14" s="37"/>
      <c r="AH14" s="37"/>
      <c r="AI14" s="37">
        <f>SUM(AJ14:AL14)+AP14</f>
        <v>0.24336000000000002</v>
      </c>
      <c r="AJ14" s="37"/>
      <c r="AK14" s="37"/>
      <c r="AL14" s="37">
        <f>SUM(AM14:AO14)</f>
        <v>0.24336000000000002</v>
      </c>
      <c r="AM14" s="37">
        <f aca="true" t="shared" si="0" ref="AM14:AO17">O14+W14+AE14</f>
        <v>0.2028</v>
      </c>
      <c r="AN14" s="37">
        <f t="shared" si="0"/>
        <v>0</v>
      </c>
      <c r="AO14" s="37">
        <f t="shared" si="0"/>
        <v>0.04056000000000001</v>
      </c>
      <c r="AP14" s="178"/>
      <c r="AR14" s="157">
        <f>I14-S14-AA14-K14</f>
        <v>0</v>
      </c>
      <c r="AS14" s="157">
        <f>AI14-AL14</f>
        <v>0</v>
      </c>
      <c r="AT14" s="157">
        <f>AL14-AM14-AN14-AO14</f>
        <v>0</v>
      </c>
      <c r="AU14" s="157">
        <f>K14-L14-M14-N14</f>
        <v>0</v>
      </c>
      <c r="AV14" s="157">
        <f>N14-O14-P14-Q14-R14</f>
        <v>0</v>
      </c>
      <c r="AW14" s="157">
        <f>S14-T14-U14-V14</f>
        <v>0</v>
      </c>
      <c r="AX14" s="157">
        <f>V14-W14-X14-Y14-Z14</f>
        <v>0</v>
      </c>
      <c r="AY14" s="157">
        <f>AA14-AB14-AC14-AD14</f>
        <v>0</v>
      </c>
      <c r="AZ14" s="157">
        <f>V14-W14-X14-Y14-Z14</f>
        <v>0</v>
      </c>
      <c r="BA14" s="157">
        <f>AA14-AB14-AC14-AD14</f>
        <v>0</v>
      </c>
      <c r="BB14" s="157">
        <f>AD14-AE14-AF14-AG14-AH14</f>
        <v>0</v>
      </c>
      <c r="BC14" s="157">
        <f>AI14-AJ14-AK14-AL14</f>
        <v>0</v>
      </c>
    </row>
    <row r="15" spans="1:55" ht="15.75">
      <c r="A15" s="69" t="s">
        <v>189</v>
      </c>
      <c r="B15" s="38" t="s">
        <v>201</v>
      </c>
      <c r="C15" s="36" t="s">
        <v>205</v>
      </c>
      <c r="D15" s="41">
        <v>2022</v>
      </c>
      <c r="E15" s="41">
        <v>2022</v>
      </c>
      <c r="F15" s="37"/>
      <c r="G15" s="37">
        <v>0.288</v>
      </c>
      <c r="H15" s="60">
        <v>44300</v>
      </c>
      <c r="I15" s="37">
        <f>G15*1.04</f>
        <v>0.29952</v>
      </c>
      <c r="J15" s="37">
        <f>I15</f>
        <v>0.29952</v>
      </c>
      <c r="K15" s="177">
        <f>SUM(L15:N15)+R15</f>
        <v>0</v>
      </c>
      <c r="L15" s="177"/>
      <c r="M15" s="177"/>
      <c r="N15" s="177">
        <f>SUM(O15:Q15)</f>
        <v>0</v>
      </c>
      <c r="O15" s="177"/>
      <c r="P15" s="177"/>
      <c r="Q15" s="177"/>
      <c r="R15" s="177"/>
      <c r="S15" s="37">
        <f>SUM(T15:V15)+Z15</f>
        <v>0.29952</v>
      </c>
      <c r="T15" s="37"/>
      <c r="U15" s="37"/>
      <c r="V15" s="37">
        <f>J15</f>
        <v>0.29952</v>
      </c>
      <c r="W15" s="37">
        <v>0.2496</v>
      </c>
      <c r="X15" s="37">
        <f>V15-W15-Y15</f>
        <v>0</v>
      </c>
      <c r="Y15" s="37">
        <f>J15/1.2*0.2</f>
        <v>0.049920000000000006</v>
      </c>
      <c r="Z15" s="37"/>
      <c r="AA15" s="37">
        <f>SUM(AB15:AD15)+AH15</f>
        <v>0</v>
      </c>
      <c r="AB15" s="37"/>
      <c r="AC15" s="37"/>
      <c r="AD15" s="37">
        <f>SUM(AE15:AG15)</f>
        <v>0</v>
      </c>
      <c r="AE15" s="37"/>
      <c r="AF15" s="37"/>
      <c r="AG15" s="37"/>
      <c r="AH15" s="37"/>
      <c r="AI15" s="37">
        <f>SUM(AJ15:AL15)+AP15</f>
        <v>0.29952</v>
      </c>
      <c r="AJ15" s="37"/>
      <c r="AK15" s="37"/>
      <c r="AL15" s="37">
        <f>SUM(AM15:AO15)</f>
        <v>0.29952</v>
      </c>
      <c r="AM15" s="37">
        <f t="shared" si="0"/>
        <v>0.2496</v>
      </c>
      <c r="AN15" s="37">
        <f t="shared" si="0"/>
        <v>0</v>
      </c>
      <c r="AO15" s="37">
        <f t="shared" si="0"/>
        <v>0.049920000000000006</v>
      </c>
      <c r="AP15" s="178"/>
      <c r="AR15" s="157">
        <f aca="true" t="shared" si="1" ref="AR15:AR32">I15-S15-AA15-K15</f>
        <v>0</v>
      </c>
      <c r="AS15" s="157">
        <f aca="true" t="shared" si="2" ref="AS15:AS32">AI15-AL15</f>
        <v>0</v>
      </c>
      <c r="AT15" s="157">
        <f aca="true" t="shared" si="3" ref="AT15:AT32">AL15-AM15-AN15-AO15</f>
        <v>0</v>
      </c>
      <c r="AU15" s="157">
        <f aca="true" t="shared" si="4" ref="AU15:AU32">K15-L15-M15-N15</f>
        <v>0</v>
      </c>
      <c r="AV15" s="157">
        <f aca="true" t="shared" si="5" ref="AV15:AV32">N15-O15-P15-Q15-R15</f>
        <v>0</v>
      </c>
      <c r="AW15" s="157">
        <f aca="true" t="shared" si="6" ref="AW15:AW32">S15-T15-U15-V15</f>
        <v>0</v>
      </c>
      <c r="AX15" s="157">
        <f aca="true" t="shared" si="7" ref="AX15:AX32">V15-W15-X15-Y15-Z15</f>
        <v>1.3877787807814457E-17</v>
      </c>
      <c r="AY15" s="157">
        <f aca="true" t="shared" si="8" ref="AY15:AY32">AA15-AB15-AC15-AD15</f>
        <v>0</v>
      </c>
      <c r="AZ15" s="157">
        <f aca="true" t="shared" si="9" ref="AZ15:AZ32">V15-W15-X15-Y15-Z15</f>
        <v>1.3877787807814457E-17</v>
      </c>
      <c r="BA15" s="157">
        <f aca="true" t="shared" si="10" ref="BA15:BA32">AA15-AB15-AC15-AD15</f>
        <v>0</v>
      </c>
      <c r="BB15" s="157">
        <f aca="true" t="shared" si="11" ref="BB15:BB32">AD15-AE15-AF15-AG15-AH15</f>
        <v>0</v>
      </c>
      <c r="BC15" s="157">
        <f aca="true" t="shared" si="12" ref="BC15:BC32">AI15-AJ15-AK15-AL15</f>
        <v>0</v>
      </c>
    </row>
    <row r="16" spans="1:55" ht="15.75">
      <c r="A16" s="69" t="s">
        <v>190</v>
      </c>
      <c r="B16" s="133" t="s">
        <v>202</v>
      </c>
      <c r="C16" s="36" t="s">
        <v>206</v>
      </c>
      <c r="D16" s="138">
        <v>2023</v>
      </c>
      <c r="E16" s="138">
        <v>2023</v>
      </c>
      <c r="F16" s="136"/>
      <c r="G16" s="37">
        <v>1.188</v>
      </c>
      <c r="H16" s="139">
        <v>44300</v>
      </c>
      <c r="I16" s="37">
        <f>G16*1.04*1.04</f>
        <v>1.2849408</v>
      </c>
      <c r="J16" s="37">
        <f>I16</f>
        <v>1.2849408</v>
      </c>
      <c r="K16" s="177">
        <f>SUM(L16:N16)+R16</f>
        <v>0</v>
      </c>
      <c r="L16" s="177"/>
      <c r="M16" s="177"/>
      <c r="N16" s="177">
        <f>SUM(O16:Q16)</f>
        <v>0</v>
      </c>
      <c r="O16" s="177"/>
      <c r="P16" s="177"/>
      <c r="Q16" s="177"/>
      <c r="R16" s="177"/>
      <c r="S16" s="37">
        <f>SUM(T16:V16)+Z16</f>
        <v>0</v>
      </c>
      <c r="T16" s="37"/>
      <c r="U16" s="37"/>
      <c r="V16" s="37"/>
      <c r="W16" s="37"/>
      <c r="X16" s="37"/>
      <c r="Y16" s="37"/>
      <c r="Z16" s="37"/>
      <c r="AA16" s="37">
        <f>SUM(AB16:AD16)+AH16</f>
        <v>1.2849408</v>
      </c>
      <c r="AB16" s="37"/>
      <c r="AC16" s="37"/>
      <c r="AD16" s="37">
        <f>J16</f>
        <v>1.2849408</v>
      </c>
      <c r="AE16" s="37">
        <v>1.070784</v>
      </c>
      <c r="AF16" s="37">
        <f>AD16-AE16-AG16</f>
        <v>0</v>
      </c>
      <c r="AG16" s="37">
        <f>J16/1.2*0.2</f>
        <v>0.2141568</v>
      </c>
      <c r="AH16" s="37"/>
      <c r="AI16" s="37">
        <f>SUM(AJ16:AL16)+AP16</f>
        <v>1.2849408</v>
      </c>
      <c r="AJ16" s="37"/>
      <c r="AK16" s="37"/>
      <c r="AL16" s="37">
        <f>SUM(AM16:AO16)</f>
        <v>1.2849408</v>
      </c>
      <c r="AM16" s="37">
        <f t="shared" si="0"/>
        <v>1.070784</v>
      </c>
      <c r="AN16" s="37">
        <f t="shared" si="0"/>
        <v>0</v>
      </c>
      <c r="AO16" s="37">
        <f t="shared" si="0"/>
        <v>0.2141568</v>
      </c>
      <c r="AP16" s="178"/>
      <c r="AR16" s="157">
        <f t="shared" si="1"/>
        <v>0</v>
      </c>
      <c r="AS16" s="157">
        <f t="shared" si="2"/>
        <v>0</v>
      </c>
      <c r="AT16" s="157">
        <f t="shared" si="3"/>
        <v>0</v>
      </c>
      <c r="AU16" s="157">
        <f t="shared" si="4"/>
        <v>0</v>
      </c>
      <c r="AV16" s="157">
        <f t="shared" si="5"/>
        <v>0</v>
      </c>
      <c r="AW16" s="157">
        <f t="shared" si="6"/>
        <v>0</v>
      </c>
      <c r="AX16" s="157">
        <f t="shared" si="7"/>
        <v>0</v>
      </c>
      <c r="AY16" s="157">
        <f t="shared" si="8"/>
        <v>0</v>
      </c>
      <c r="AZ16" s="157">
        <f t="shared" si="9"/>
        <v>0</v>
      </c>
      <c r="BA16" s="157">
        <f t="shared" si="10"/>
        <v>0</v>
      </c>
      <c r="BB16" s="157">
        <f t="shared" si="11"/>
        <v>2.7755575615628914E-17</v>
      </c>
      <c r="BC16" s="157">
        <f t="shared" si="12"/>
        <v>0</v>
      </c>
    </row>
    <row r="17" spans="1:55" ht="15.75">
      <c r="A17" s="69" t="s">
        <v>191</v>
      </c>
      <c r="B17" s="133" t="s">
        <v>192</v>
      </c>
      <c r="C17" s="137" t="s">
        <v>207</v>
      </c>
      <c r="D17" s="138">
        <v>2022</v>
      </c>
      <c r="E17" s="138">
        <v>2023</v>
      </c>
      <c r="F17" s="136"/>
      <c r="G17" s="37">
        <f>0.888+0.864+0.864</f>
        <v>2.616</v>
      </c>
      <c r="H17" s="139">
        <v>44300</v>
      </c>
      <c r="I17" s="37">
        <f>(G17-0.888)*1.04+0.888*1.04*1.04</f>
        <v>2.7575808000000004</v>
      </c>
      <c r="J17" s="37">
        <f>I17</f>
        <v>2.7575808000000004</v>
      </c>
      <c r="K17" s="177">
        <f>SUM(L17:N17)+R17</f>
        <v>0</v>
      </c>
      <c r="L17" s="177"/>
      <c r="M17" s="177"/>
      <c r="N17" s="177">
        <f>SUM(O17:Q17)</f>
        <v>0</v>
      </c>
      <c r="O17" s="177"/>
      <c r="P17" s="177"/>
      <c r="Q17" s="177"/>
      <c r="R17" s="177"/>
      <c r="S17" s="37">
        <f>SUM(T17:V17)+Z17</f>
        <v>1.79712</v>
      </c>
      <c r="T17" s="37"/>
      <c r="U17" s="37"/>
      <c r="V17" s="37">
        <f>1.728*1.04</f>
        <v>1.79712</v>
      </c>
      <c r="W17" s="37">
        <v>1.4976</v>
      </c>
      <c r="X17" s="37">
        <f>V17-W17-Y17</f>
        <v>0</v>
      </c>
      <c r="Y17" s="37">
        <f>V17/1.2*0.2</f>
        <v>0.29952</v>
      </c>
      <c r="Z17" s="37"/>
      <c r="AA17" s="37">
        <f>SUM(AB17:AD17)+AH17</f>
        <v>0.9604608</v>
      </c>
      <c r="AB17" s="37"/>
      <c r="AC17" s="37"/>
      <c r="AD17" s="37">
        <f>0.888*1.04*1.04</f>
        <v>0.9604608</v>
      </c>
      <c r="AE17" s="37">
        <v>0.800384</v>
      </c>
      <c r="AF17" s="37">
        <f>AD17-AE17-AG17</f>
        <v>0</v>
      </c>
      <c r="AG17" s="37">
        <f>AD17/1.2*0.2</f>
        <v>0.16007680000000002</v>
      </c>
      <c r="AH17" s="37"/>
      <c r="AI17" s="37">
        <f>SUM(AJ17:AL17)+AP17</f>
        <v>2.7575808</v>
      </c>
      <c r="AJ17" s="37"/>
      <c r="AK17" s="37"/>
      <c r="AL17" s="37">
        <f>SUM(AM17:AO17)</f>
        <v>2.7575808</v>
      </c>
      <c r="AM17" s="37">
        <f t="shared" si="0"/>
        <v>2.297984</v>
      </c>
      <c r="AN17" s="37">
        <f t="shared" si="0"/>
        <v>0</v>
      </c>
      <c r="AO17" s="37">
        <f t="shared" si="0"/>
        <v>0.4595968</v>
      </c>
      <c r="AP17" s="178"/>
      <c r="AR17" s="157">
        <f t="shared" si="1"/>
        <v>3.3306690738754696E-16</v>
      </c>
      <c r="AS17" s="157">
        <f t="shared" si="2"/>
        <v>0</v>
      </c>
      <c r="AT17" s="157">
        <f t="shared" si="3"/>
        <v>0</v>
      </c>
      <c r="AU17" s="157">
        <f t="shared" si="4"/>
        <v>0</v>
      </c>
      <c r="AV17" s="157">
        <f t="shared" si="5"/>
        <v>0</v>
      </c>
      <c r="AW17" s="157">
        <f t="shared" si="6"/>
        <v>0</v>
      </c>
      <c r="AX17" s="157">
        <f t="shared" si="7"/>
        <v>0</v>
      </c>
      <c r="AY17" s="157">
        <f t="shared" si="8"/>
        <v>0</v>
      </c>
      <c r="AZ17" s="157">
        <f t="shared" si="9"/>
        <v>0</v>
      </c>
      <c r="BA17" s="157">
        <f t="shared" si="10"/>
        <v>0</v>
      </c>
      <c r="BB17" s="157">
        <f t="shared" si="11"/>
        <v>0</v>
      </c>
      <c r="BC17" s="157">
        <f t="shared" si="12"/>
        <v>0</v>
      </c>
    </row>
    <row r="18" spans="1:55" ht="15.75">
      <c r="A18" s="69" t="s">
        <v>219</v>
      </c>
      <c r="B18" s="133" t="s">
        <v>220</v>
      </c>
      <c r="C18" s="137" t="s">
        <v>217</v>
      </c>
      <c r="D18" s="138">
        <v>2022</v>
      </c>
      <c r="E18" s="138">
        <v>2023</v>
      </c>
      <c r="F18" s="136"/>
      <c r="G18" s="37">
        <v>3.5939940000000004</v>
      </c>
      <c r="H18" s="139">
        <v>44300</v>
      </c>
      <c r="I18" s="37">
        <v>3.5939940000000004</v>
      </c>
      <c r="J18" s="37">
        <f>I18</f>
        <v>3.5939940000000004</v>
      </c>
      <c r="K18" s="177">
        <f>SUM(L18:N18)+R18</f>
        <v>0</v>
      </c>
      <c r="L18" s="177"/>
      <c r="M18" s="177"/>
      <c r="N18" s="177">
        <f>SUM(O18:Q18)</f>
        <v>0</v>
      </c>
      <c r="O18" s="177"/>
      <c r="P18" s="177"/>
      <c r="Q18" s="177"/>
      <c r="R18" s="177"/>
      <c r="S18" s="37">
        <f>SUM(T18:V18)+Z18</f>
        <v>2.520474</v>
      </c>
      <c r="T18" s="37"/>
      <c r="U18" s="37"/>
      <c r="V18" s="37">
        <f>2.520474</f>
        <v>2.520474</v>
      </c>
      <c r="W18" s="37">
        <v>0</v>
      </c>
      <c r="X18" s="37">
        <f>V18-W18-Y18</f>
        <v>2.100395</v>
      </c>
      <c r="Y18" s="37">
        <f>V18/1.2*0.2</f>
        <v>0.4200790000000001</v>
      </c>
      <c r="Z18" s="37"/>
      <c r="AA18" s="37">
        <f>SUM(AB18:AD18)+AH18</f>
        <v>1.07352</v>
      </c>
      <c r="AB18" s="37"/>
      <c r="AC18" s="37"/>
      <c r="AD18" s="37">
        <v>1.07352</v>
      </c>
      <c r="AE18" s="37">
        <v>0.840158</v>
      </c>
      <c r="AF18" s="37">
        <f>AD18-AE18-AG18</f>
        <v>0.054442000000000046</v>
      </c>
      <c r="AG18" s="37">
        <f>AD18/1.2*0.2</f>
        <v>0.17892000000000002</v>
      </c>
      <c r="AH18" s="37"/>
      <c r="AI18" s="37">
        <f>SUM(AJ18:AL18)+AP18</f>
        <v>3.5939939999999995</v>
      </c>
      <c r="AJ18" s="37"/>
      <c r="AK18" s="37"/>
      <c r="AL18" s="37">
        <f>SUM(AM18:AO18)</f>
        <v>3.5939939999999995</v>
      </c>
      <c r="AM18" s="37">
        <f>O18+W18+AE18</f>
        <v>0.840158</v>
      </c>
      <c r="AN18" s="37">
        <f>P18+X18+AF18</f>
        <v>2.1548369999999997</v>
      </c>
      <c r="AO18" s="37">
        <f>Q18+Y18+AG18</f>
        <v>0.5989990000000001</v>
      </c>
      <c r="AP18" s="178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</row>
    <row r="19" spans="1:55" ht="15.75">
      <c r="A19" s="70" t="s">
        <v>131</v>
      </c>
      <c r="B19" s="143" t="s">
        <v>109</v>
      </c>
      <c r="C19" s="132"/>
      <c r="D19" s="132"/>
      <c r="E19" s="132"/>
      <c r="F19" s="132"/>
      <c r="G19" s="37"/>
      <c r="H19" s="156"/>
      <c r="I19" s="37"/>
      <c r="J19" s="37"/>
      <c r="K19" s="177"/>
      <c r="L19" s="177"/>
      <c r="M19" s="177"/>
      <c r="N19" s="177"/>
      <c r="O19" s="177"/>
      <c r="P19" s="177"/>
      <c r="Q19" s="177"/>
      <c r="R19" s="17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179"/>
      <c r="AR19" s="157">
        <f t="shared" si="1"/>
        <v>0</v>
      </c>
      <c r="AS19" s="157">
        <f t="shared" si="2"/>
        <v>0</v>
      </c>
      <c r="AT19" s="157">
        <f t="shared" si="3"/>
        <v>0</v>
      </c>
      <c r="AU19" s="157">
        <f t="shared" si="4"/>
        <v>0</v>
      </c>
      <c r="AV19" s="157">
        <f t="shared" si="5"/>
        <v>0</v>
      </c>
      <c r="AW19" s="157">
        <f t="shared" si="6"/>
        <v>0</v>
      </c>
      <c r="AX19" s="157">
        <f t="shared" si="7"/>
        <v>0</v>
      </c>
      <c r="AY19" s="157">
        <f t="shared" si="8"/>
        <v>0</v>
      </c>
      <c r="AZ19" s="157">
        <f t="shared" si="9"/>
        <v>0</v>
      </c>
      <c r="BA19" s="157">
        <f t="shared" si="10"/>
        <v>0</v>
      </c>
      <c r="BB19" s="157">
        <f t="shared" si="11"/>
        <v>0</v>
      </c>
      <c r="BC19" s="157">
        <f t="shared" si="12"/>
        <v>0</v>
      </c>
    </row>
    <row r="20" spans="1:55" ht="15.75">
      <c r="A20" s="69" t="s">
        <v>111</v>
      </c>
      <c r="B20" s="141" t="s">
        <v>199</v>
      </c>
      <c r="C20" s="137" t="s">
        <v>208</v>
      </c>
      <c r="D20" s="41">
        <v>2022</v>
      </c>
      <c r="E20" s="41">
        <v>2022</v>
      </c>
      <c r="F20" s="37"/>
      <c r="G20" s="37">
        <v>7.03084995</v>
      </c>
      <c r="H20" s="60">
        <v>44300</v>
      </c>
      <c r="I20" s="37">
        <f>G20</f>
        <v>7.03084995</v>
      </c>
      <c r="J20" s="37">
        <f aca="true" t="shared" si="13" ref="J20:J26">I20</f>
        <v>7.03084995</v>
      </c>
      <c r="K20" s="177">
        <f aca="true" t="shared" si="14" ref="K20:K25">SUM(L20:N20)+R20</f>
        <v>0</v>
      </c>
      <c r="L20" s="177"/>
      <c r="M20" s="177"/>
      <c r="N20" s="177">
        <f aca="true" t="shared" si="15" ref="N20:N25">SUM(O20:Q20)</f>
        <v>0</v>
      </c>
      <c r="O20" s="177"/>
      <c r="P20" s="177"/>
      <c r="Q20" s="177"/>
      <c r="R20" s="177"/>
      <c r="S20" s="37">
        <f aca="true" t="shared" si="16" ref="S20:S26">SUM(T20:V20)+Z20</f>
        <v>7.03084995</v>
      </c>
      <c r="T20" s="37"/>
      <c r="U20" s="37"/>
      <c r="V20" s="37">
        <f>J20</f>
        <v>7.03084995</v>
      </c>
      <c r="W20" s="37">
        <v>5.859041625</v>
      </c>
      <c r="X20" s="37">
        <f>V20-W20-Y20</f>
        <v>0</v>
      </c>
      <c r="Y20" s="37">
        <f>J20/1.2*0.2</f>
        <v>1.1718083250000002</v>
      </c>
      <c r="Z20" s="37"/>
      <c r="AA20" s="37">
        <f aca="true" t="shared" si="17" ref="AA20:AA26">SUM(AB20:AD20)+AH20</f>
        <v>0</v>
      </c>
      <c r="AB20" s="37"/>
      <c r="AC20" s="37"/>
      <c r="AD20" s="37"/>
      <c r="AE20" s="37"/>
      <c r="AF20" s="37"/>
      <c r="AG20" s="37"/>
      <c r="AH20" s="37"/>
      <c r="AI20" s="37">
        <f aca="true" t="shared" si="18" ref="AI20:AI30">SUM(AJ20:AL20)+AP20</f>
        <v>7.03084995</v>
      </c>
      <c r="AJ20" s="37"/>
      <c r="AK20" s="37"/>
      <c r="AL20" s="37">
        <f>SUM(AM20:AO20)</f>
        <v>7.03084995</v>
      </c>
      <c r="AM20" s="37">
        <f aca="true" t="shared" si="19" ref="AM20:AM26">O20+W20+AE20</f>
        <v>5.859041625</v>
      </c>
      <c r="AN20" s="37">
        <f aca="true" t="shared" si="20" ref="AN20:AN26">P20+X20+AF20</f>
        <v>0</v>
      </c>
      <c r="AO20" s="37">
        <f aca="true" t="shared" si="21" ref="AO20:AO26">Q20+Y20+AG20</f>
        <v>1.1718083250000002</v>
      </c>
      <c r="AP20" s="178"/>
      <c r="AR20" s="157">
        <f t="shared" si="1"/>
        <v>0</v>
      </c>
      <c r="AS20" s="157">
        <f t="shared" si="2"/>
        <v>0</v>
      </c>
      <c r="AT20" s="157">
        <f t="shared" si="3"/>
        <v>0</v>
      </c>
      <c r="AU20" s="157">
        <f t="shared" si="4"/>
        <v>0</v>
      </c>
      <c r="AV20" s="157">
        <f t="shared" si="5"/>
        <v>0</v>
      </c>
      <c r="AW20" s="157">
        <f t="shared" si="6"/>
        <v>0</v>
      </c>
      <c r="AX20" s="157">
        <f t="shared" si="7"/>
        <v>4.440892098500626E-16</v>
      </c>
      <c r="AY20" s="157">
        <f t="shared" si="8"/>
        <v>0</v>
      </c>
      <c r="AZ20" s="157">
        <f t="shared" si="9"/>
        <v>4.440892098500626E-16</v>
      </c>
      <c r="BA20" s="157">
        <f t="shared" si="10"/>
        <v>0</v>
      </c>
      <c r="BB20" s="157">
        <f t="shared" si="11"/>
        <v>0</v>
      </c>
      <c r="BC20" s="157">
        <f t="shared" si="12"/>
        <v>0</v>
      </c>
    </row>
    <row r="21" spans="1:55" ht="15.75">
      <c r="A21" s="69" t="s">
        <v>112</v>
      </c>
      <c r="B21" s="141" t="s">
        <v>140</v>
      </c>
      <c r="C21" s="137" t="s">
        <v>210</v>
      </c>
      <c r="D21" s="41">
        <v>2023</v>
      </c>
      <c r="E21" s="41">
        <v>2023</v>
      </c>
      <c r="F21" s="37"/>
      <c r="G21" s="37">
        <v>16.3957484523754</v>
      </c>
      <c r="H21" s="60">
        <v>44300</v>
      </c>
      <c r="I21" s="37">
        <f>G21</f>
        <v>16.3957484523754</v>
      </c>
      <c r="J21" s="37">
        <f t="shared" si="13"/>
        <v>16.3957484523754</v>
      </c>
      <c r="K21" s="177">
        <f t="shared" si="14"/>
        <v>0</v>
      </c>
      <c r="L21" s="177"/>
      <c r="M21" s="177"/>
      <c r="N21" s="177">
        <f t="shared" si="15"/>
        <v>0</v>
      </c>
      <c r="O21" s="177"/>
      <c r="P21" s="177"/>
      <c r="Q21" s="177"/>
      <c r="R21" s="177"/>
      <c r="S21" s="37">
        <f t="shared" si="16"/>
        <v>0</v>
      </c>
      <c r="T21" s="37"/>
      <c r="U21" s="37"/>
      <c r="V21" s="37">
        <f>SUM(W21:Y21)</f>
        <v>0</v>
      </c>
      <c r="W21" s="37"/>
      <c r="X21" s="37"/>
      <c r="Y21" s="37"/>
      <c r="Z21" s="37"/>
      <c r="AA21" s="37">
        <f t="shared" si="17"/>
        <v>16.3957484523754</v>
      </c>
      <c r="AB21" s="37"/>
      <c r="AC21" s="37"/>
      <c r="AD21" s="37">
        <f>J21</f>
        <v>16.3957484523754</v>
      </c>
      <c r="AE21" s="37">
        <v>13.663123710312833</v>
      </c>
      <c r="AF21" s="37">
        <f>AD21-AE21-AG21</f>
        <v>0</v>
      </c>
      <c r="AG21" s="37">
        <f>J21/1.2*0.2</f>
        <v>2.7326247420625673</v>
      </c>
      <c r="AH21" s="37"/>
      <c r="AI21" s="37">
        <f t="shared" si="18"/>
        <v>16.3957484523754</v>
      </c>
      <c r="AJ21" s="37"/>
      <c r="AK21" s="37"/>
      <c r="AL21" s="37">
        <f aca="true" t="shared" si="22" ref="AL21:AL30">SUM(AM21:AO21)</f>
        <v>16.3957484523754</v>
      </c>
      <c r="AM21" s="37">
        <f t="shared" si="19"/>
        <v>13.663123710312833</v>
      </c>
      <c r="AN21" s="37">
        <f t="shared" si="20"/>
        <v>0</v>
      </c>
      <c r="AO21" s="37">
        <f t="shared" si="21"/>
        <v>2.7326247420625673</v>
      </c>
      <c r="AP21" s="178"/>
      <c r="AR21" s="157">
        <f t="shared" si="1"/>
        <v>0</v>
      </c>
      <c r="AS21" s="157">
        <f t="shared" si="2"/>
        <v>0</v>
      </c>
      <c r="AT21" s="157">
        <f t="shared" si="3"/>
        <v>0</v>
      </c>
      <c r="AU21" s="157">
        <f t="shared" si="4"/>
        <v>0</v>
      </c>
      <c r="AV21" s="157">
        <f t="shared" si="5"/>
        <v>0</v>
      </c>
      <c r="AW21" s="157">
        <f t="shared" si="6"/>
        <v>0</v>
      </c>
      <c r="AX21" s="157">
        <f t="shared" si="7"/>
        <v>0</v>
      </c>
      <c r="AY21" s="157">
        <f t="shared" si="8"/>
        <v>0</v>
      </c>
      <c r="AZ21" s="157">
        <f t="shared" si="9"/>
        <v>0</v>
      </c>
      <c r="BA21" s="157">
        <f t="shared" si="10"/>
        <v>0</v>
      </c>
      <c r="BB21" s="157">
        <f t="shared" si="11"/>
        <v>0</v>
      </c>
      <c r="BC21" s="157">
        <f t="shared" si="12"/>
        <v>0</v>
      </c>
    </row>
    <row r="22" spans="1:55" ht="15.75">
      <c r="A22" s="69" t="s">
        <v>113</v>
      </c>
      <c r="B22" s="141" t="s">
        <v>198</v>
      </c>
      <c r="C22" s="137" t="s">
        <v>209</v>
      </c>
      <c r="D22" s="41">
        <v>2022</v>
      </c>
      <c r="E22" s="41">
        <v>2022</v>
      </c>
      <c r="F22" s="37"/>
      <c r="G22" s="37">
        <v>7.42334919</v>
      </c>
      <c r="H22" s="60">
        <v>44300</v>
      </c>
      <c r="I22" s="37">
        <f>G22</f>
        <v>7.42334919</v>
      </c>
      <c r="J22" s="37">
        <f t="shared" si="13"/>
        <v>7.42334919</v>
      </c>
      <c r="K22" s="177">
        <f t="shared" si="14"/>
        <v>0</v>
      </c>
      <c r="L22" s="177"/>
      <c r="M22" s="177"/>
      <c r="N22" s="177">
        <f t="shared" si="15"/>
        <v>0</v>
      </c>
      <c r="O22" s="177"/>
      <c r="P22" s="177"/>
      <c r="Q22" s="177"/>
      <c r="R22" s="177"/>
      <c r="S22" s="37">
        <f t="shared" si="16"/>
        <v>7.42334919</v>
      </c>
      <c r="T22" s="37"/>
      <c r="U22" s="37"/>
      <c r="V22" s="37">
        <f>J22</f>
        <v>7.42334919</v>
      </c>
      <c r="W22" s="37">
        <v>6.186124325</v>
      </c>
      <c r="X22" s="37">
        <f>V22-W22-Y22</f>
        <v>0</v>
      </c>
      <c r="Y22" s="37">
        <f>J22/1.2*0.2</f>
        <v>1.237224865</v>
      </c>
      <c r="Z22" s="37"/>
      <c r="AA22" s="37">
        <f t="shared" si="17"/>
        <v>0</v>
      </c>
      <c r="AB22" s="37"/>
      <c r="AC22" s="37"/>
      <c r="AD22" s="37"/>
      <c r="AE22" s="37"/>
      <c r="AF22" s="37"/>
      <c r="AG22" s="37"/>
      <c r="AH22" s="37"/>
      <c r="AI22" s="37">
        <f t="shared" si="18"/>
        <v>7.42334919</v>
      </c>
      <c r="AJ22" s="37"/>
      <c r="AK22" s="37"/>
      <c r="AL22" s="37">
        <f t="shared" si="22"/>
        <v>7.42334919</v>
      </c>
      <c r="AM22" s="37">
        <f t="shared" si="19"/>
        <v>6.186124325</v>
      </c>
      <c r="AN22" s="37">
        <f t="shared" si="20"/>
        <v>0</v>
      </c>
      <c r="AO22" s="37">
        <f t="shared" si="21"/>
        <v>1.237224865</v>
      </c>
      <c r="AP22" s="178"/>
      <c r="AR22" s="157">
        <f t="shared" si="1"/>
        <v>0</v>
      </c>
      <c r="AS22" s="157">
        <f t="shared" si="2"/>
        <v>0</v>
      </c>
      <c r="AT22" s="157">
        <f t="shared" si="3"/>
        <v>0</v>
      </c>
      <c r="AU22" s="157">
        <f t="shared" si="4"/>
        <v>0</v>
      </c>
      <c r="AV22" s="157">
        <f t="shared" si="5"/>
        <v>0</v>
      </c>
      <c r="AW22" s="157">
        <f t="shared" si="6"/>
        <v>0</v>
      </c>
      <c r="AX22" s="157">
        <f t="shared" si="7"/>
        <v>0</v>
      </c>
      <c r="AY22" s="157">
        <f t="shared" si="8"/>
        <v>0</v>
      </c>
      <c r="AZ22" s="157">
        <f t="shared" si="9"/>
        <v>0</v>
      </c>
      <c r="BA22" s="157">
        <f t="shared" si="10"/>
        <v>0</v>
      </c>
      <c r="BB22" s="157">
        <f t="shared" si="11"/>
        <v>0</v>
      </c>
      <c r="BC22" s="157">
        <f t="shared" si="12"/>
        <v>0</v>
      </c>
    </row>
    <row r="23" spans="1:55" ht="15.75">
      <c r="A23" s="69" t="s">
        <v>133</v>
      </c>
      <c r="B23" s="38" t="s">
        <v>196</v>
      </c>
      <c r="C23" s="137" t="s">
        <v>212</v>
      </c>
      <c r="D23" s="41">
        <v>2022</v>
      </c>
      <c r="E23" s="41">
        <v>2022</v>
      </c>
      <c r="F23" s="37"/>
      <c r="G23" s="37">
        <f>1.32343664*0.20602961</f>
        <v>0.2726671347989104</v>
      </c>
      <c r="H23" s="60">
        <v>44300</v>
      </c>
      <c r="I23" s="37">
        <f>1.32343664*0.20602961</f>
        <v>0.2726671347989104</v>
      </c>
      <c r="J23" s="37">
        <f t="shared" si="13"/>
        <v>0.2726671347989104</v>
      </c>
      <c r="K23" s="177">
        <f t="shared" si="14"/>
        <v>0</v>
      </c>
      <c r="L23" s="177"/>
      <c r="M23" s="177"/>
      <c r="N23" s="177">
        <f t="shared" si="15"/>
        <v>0</v>
      </c>
      <c r="O23" s="177"/>
      <c r="P23" s="177"/>
      <c r="Q23" s="177"/>
      <c r="R23" s="177"/>
      <c r="S23" s="37">
        <f t="shared" si="16"/>
        <v>0.2726671347989104</v>
      </c>
      <c r="T23" s="37"/>
      <c r="U23" s="37"/>
      <c r="V23" s="37">
        <f>J23</f>
        <v>0.2726671347989104</v>
      </c>
      <c r="W23" s="37">
        <v>0.06127021</v>
      </c>
      <c r="X23" s="37">
        <f>V23-W23-Y23</f>
        <v>0.16595240233242536</v>
      </c>
      <c r="Y23" s="37">
        <f>J23/1.2*0.2</f>
        <v>0.045444522466485074</v>
      </c>
      <c r="Z23" s="37"/>
      <c r="AA23" s="37">
        <f>SUM(AB23:AD23)+AH23</f>
        <v>0</v>
      </c>
      <c r="AB23" s="37"/>
      <c r="AC23" s="37"/>
      <c r="AD23" s="37"/>
      <c r="AE23" s="37"/>
      <c r="AF23" s="37"/>
      <c r="AG23" s="37"/>
      <c r="AH23" s="37"/>
      <c r="AI23" s="37">
        <f t="shared" si="18"/>
        <v>0.2726671347989104</v>
      </c>
      <c r="AJ23" s="37"/>
      <c r="AK23" s="37"/>
      <c r="AL23" s="37">
        <f t="shared" si="22"/>
        <v>0.2726671347989104</v>
      </c>
      <c r="AM23" s="37">
        <f t="shared" si="19"/>
        <v>0.06127021</v>
      </c>
      <c r="AN23" s="37">
        <f t="shared" si="20"/>
        <v>0.16595240233242536</v>
      </c>
      <c r="AO23" s="37">
        <f t="shared" si="21"/>
        <v>0.045444522466485074</v>
      </c>
      <c r="AP23" s="178"/>
      <c r="AR23" s="157">
        <f t="shared" si="1"/>
        <v>0</v>
      </c>
      <c r="AS23" s="157">
        <f t="shared" si="2"/>
        <v>0</v>
      </c>
      <c r="AT23" s="157">
        <f t="shared" si="3"/>
        <v>0</v>
      </c>
      <c r="AU23" s="157">
        <f t="shared" si="4"/>
        <v>0</v>
      </c>
      <c r="AV23" s="157">
        <f t="shared" si="5"/>
        <v>0</v>
      </c>
      <c r="AW23" s="157">
        <f t="shared" si="6"/>
        <v>0</v>
      </c>
      <c r="AX23" s="157">
        <f t="shared" si="7"/>
        <v>-1.3877787807814457E-17</v>
      </c>
      <c r="AY23" s="157">
        <f t="shared" si="8"/>
        <v>0</v>
      </c>
      <c r="AZ23" s="157">
        <f t="shared" si="9"/>
        <v>-1.3877787807814457E-17</v>
      </c>
      <c r="BA23" s="157">
        <f t="shared" si="10"/>
        <v>0</v>
      </c>
      <c r="BB23" s="157">
        <f t="shared" si="11"/>
        <v>0</v>
      </c>
      <c r="BC23" s="157">
        <f t="shared" si="12"/>
        <v>0</v>
      </c>
    </row>
    <row r="24" spans="1:55" ht="15.75">
      <c r="A24" s="69" t="s">
        <v>134</v>
      </c>
      <c r="B24" s="38" t="s">
        <v>197</v>
      </c>
      <c r="C24" s="137" t="s">
        <v>213</v>
      </c>
      <c r="D24" s="41">
        <v>2022</v>
      </c>
      <c r="E24" s="41">
        <v>2022</v>
      </c>
      <c r="F24" s="37"/>
      <c r="G24" s="37">
        <f>0.9232072596667*0.20602961</f>
        <v>0.19020803165829894</v>
      </c>
      <c r="H24" s="60">
        <v>44300</v>
      </c>
      <c r="I24" s="37">
        <f>0.9232072596667*0.20602961</f>
        <v>0.19020803165829894</v>
      </c>
      <c r="J24" s="37">
        <f>I24</f>
        <v>0.19020803165829894</v>
      </c>
      <c r="K24" s="177">
        <f>SUM(L24:N24)+R24</f>
        <v>0</v>
      </c>
      <c r="L24" s="177"/>
      <c r="M24" s="177"/>
      <c r="N24" s="177">
        <f>SUM(O24:Q24)</f>
        <v>0</v>
      </c>
      <c r="O24" s="177"/>
      <c r="P24" s="177"/>
      <c r="Q24" s="177"/>
      <c r="R24" s="177"/>
      <c r="S24" s="37">
        <f t="shared" si="16"/>
        <v>0.19020803165829894</v>
      </c>
      <c r="T24" s="37"/>
      <c r="U24" s="37"/>
      <c r="V24" s="37">
        <f>J24</f>
        <v>0.19020803165829894</v>
      </c>
      <c r="W24" s="37">
        <v>0.12822323</v>
      </c>
      <c r="X24" s="37">
        <f>V24-W24-Y24</f>
        <v>0.03028346304858246</v>
      </c>
      <c r="Y24" s="37">
        <f>J24/1.2*0.2</f>
        <v>0.03170133860971649</v>
      </c>
      <c r="Z24" s="37"/>
      <c r="AA24" s="37">
        <f t="shared" si="17"/>
        <v>0</v>
      </c>
      <c r="AB24" s="37"/>
      <c r="AC24" s="37"/>
      <c r="AD24" s="37"/>
      <c r="AE24" s="37"/>
      <c r="AF24" s="37"/>
      <c r="AG24" s="37"/>
      <c r="AH24" s="37"/>
      <c r="AI24" s="37">
        <f>SUM(AJ24:AL24)+AP24</f>
        <v>0.19020803165829894</v>
      </c>
      <c r="AJ24" s="37"/>
      <c r="AK24" s="37"/>
      <c r="AL24" s="37">
        <f>SUM(AM24:AO24)</f>
        <v>0.19020803165829894</v>
      </c>
      <c r="AM24" s="37">
        <f t="shared" si="19"/>
        <v>0.12822323</v>
      </c>
      <c r="AN24" s="37">
        <f t="shared" si="20"/>
        <v>0.03028346304858246</v>
      </c>
      <c r="AO24" s="37">
        <f t="shared" si="21"/>
        <v>0.03170133860971649</v>
      </c>
      <c r="AP24" s="178"/>
      <c r="AR24" s="157">
        <f t="shared" si="1"/>
        <v>0</v>
      </c>
      <c r="AS24" s="157">
        <f t="shared" si="2"/>
        <v>0</v>
      </c>
      <c r="AT24" s="157">
        <f t="shared" si="3"/>
        <v>0</v>
      </c>
      <c r="AU24" s="157">
        <f t="shared" si="4"/>
        <v>0</v>
      </c>
      <c r="AV24" s="157">
        <f t="shared" si="5"/>
        <v>0</v>
      </c>
      <c r="AW24" s="157">
        <f t="shared" si="6"/>
        <v>0</v>
      </c>
      <c r="AX24" s="157">
        <f t="shared" si="7"/>
        <v>0</v>
      </c>
      <c r="AY24" s="157">
        <f t="shared" si="8"/>
        <v>0</v>
      </c>
      <c r="AZ24" s="157">
        <f t="shared" si="9"/>
        <v>0</v>
      </c>
      <c r="BA24" s="157">
        <f t="shared" si="10"/>
        <v>0</v>
      </c>
      <c r="BB24" s="157">
        <f t="shared" si="11"/>
        <v>0</v>
      </c>
      <c r="BC24" s="157">
        <f t="shared" si="12"/>
        <v>0</v>
      </c>
    </row>
    <row r="25" spans="1:55" ht="31.5">
      <c r="A25" s="69" t="s">
        <v>135</v>
      </c>
      <c r="B25" s="38" t="s">
        <v>203</v>
      </c>
      <c r="C25" s="137" t="s">
        <v>214</v>
      </c>
      <c r="D25" s="41">
        <v>2022</v>
      </c>
      <c r="E25" s="41">
        <v>2022</v>
      </c>
      <c r="F25" s="37"/>
      <c r="G25" s="37">
        <f>6.42567772*0.20602961</f>
        <v>1.3238798746372893</v>
      </c>
      <c r="H25" s="60">
        <v>44300</v>
      </c>
      <c r="I25" s="37">
        <f>6.42567772*0.20602961</f>
        <v>1.3238798746372893</v>
      </c>
      <c r="J25" s="37">
        <f t="shared" si="13"/>
        <v>1.3238798746372893</v>
      </c>
      <c r="K25" s="177">
        <f t="shared" si="14"/>
        <v>0</v>
      </c>
      <c r="L25" s="177"/>
      <c r="M25" s="177"/>
      <c r="N25" s="177">
        <f t="shared" si="15"/>
        <v>0</v>
      </c>
      <c r="O25" s="177"/>
      <c r="P25" s="177"/>
      <c r="Q25" s="177"/>
      <c r="R25" s="177"/>
      <c r="S25" s="37">
        <f t="shared" si="16"/>
        <v>1.3238798746372893</v>
      </c>
      <c r="T25" s="37"/>
      <c r="U25" s="37"/>
      <c r="V25" s="37">
        <f>J25</f>
        <v>1.3238798746372893</v>
      </c>
      <c r="W25" s="37">
        <v>0.44622762</v>
      </c>
      <c r="X25" s="37">
        <f>V25-W25-Y25</f>
        <v>0.6570056088644078</v>
      </c>
      <c r="Y25" s="37">
        <f>J25/1.2*0.2</f>
        <v>0.22064664577288157</v>
      </c>
      <c r="Z25" s="37"/>
      <c r="AA25" s="37">
        <f t="shared" si="17"/>
        <v>0</v>
      </c>
      <c r="AB25" s="37"/>
      <c r="AC25" s="37"/>
      <c r="AD25" s="37"/>
      <c r="AE25" s="37"/>
      <c r="AF25" s="37"/>
      <c r="AG25" s="37"/>
      <c r="AH25" s="37"/>
      <c r="AI25" s="37">
        <f t="shared" si="18"/>
        <v>1.3238798746372893</v>
      </c>
      <c r="AJ25" s="37"/>
      <c r="AK25" s="37"/>
      <c r="AL25" s="37">
        <f t="shared" si="22"/>
        <v>1.3238798746372893</v>
      </c>
      <c r="AM25" s="37">
        <f t="shared" si="19"/>
        <v>0.44622762</v>
      </c>
      <c r="AN25" s="37">
        <f t="shared" si="20"/>
        <v>0.6570056088644078</v>
      </c>
      <c r="AO25" s="37">
        <f t="shared" si="21"/>
        <v>0.22064664577288157</v>
      </c>
      <c r="AP25" s="178"/>
      <c r="AR25" s="157">
        <f t="shared" si="1"/>
        <v>0</v>
      </c>
      <c r="AS25" s="157">
        <f t="shared" si="2"/>
        <v>0</v>
      </c>
      <c r="AT25" s="157">
        <f t="shared" si="3"/>
        <v>0</v>
      </c>
      <c r="AU25" s="157">
        <f t="shared" si="4"/>
        <v>0</v>
      </c>
      <c r="AV25" s="157">
        <f t="shared" si="5"/>
        <v>0</v>
      </c>
      <c r="AW25" s="157">
        <f t="shared" si="6"/>
        <v>0</v>
      </c>
      <c r="AX25" s="157">
        <f t="shared" si="7"/>
        <v>-5.551115123125783E-17</v>
      </c>
      <c r="AY25" s="157">
        <f t="shared" si="8"/>
        <v>0</v>
      </c>
      <c r="AZ25" s="157">
        <f t="shared" si="9"/>
        <v>-5.551115123125783E-17</v>
      </c>
      <c r="BA25" s="157">
        <f t="shared" si="10"/>
        <v>0</v>
      </c>
      <c r="BB25" s="157">
        <f t="shared" si="11"/>
        <v>0</v>
      </c>
      <c r="BC25" s="157">
        <f t="shared" si="12"/>
        <v>0</v>
      </c>
    </row>
    <row r="26" spans="1:55" ht="15.75">
      <c r="A26" s="69" t="s">
        <v>136</v>
      </c>
      <c r="B26" s="38" t="s">
        <v>221</v>
      </c>
      <c r="C26" s="137" t="s">
        <v>218</v>
      </c>
      <c r="D26" s="41">
        <v>2022</v>
      </c>
      <c r="E26" s="41">
        <v>2023</v>
      </c>
      <c r="F26" s="37"/>
      <c r="G26" s="37">
        <v>15.595799999999999</v>
      </c>
      <c r="H26" s="60">
        <v>44300</v>
      </c>
      <c r="I26" s="37">
        <f>G26</f>
        <v>15.595799999999999</v>
      </c>
      <c r="J26" s="37">
        <f t="shared" si="13"/>
        <v>15.595799999999999</v>
      </c>
      <c r="K26" s="177">
        <f>SUM(L26:N26)+R26</f>
        <v>0</v>
      </c>
      <c r="L26" s="177"/>
      <c r="M26" s="177"/>
      <c r="N26" s="177">
        <f>SUM(O26:Q26)</f>
        <v>0</v>
      </c>
      <c r="O26" s="177"/>
      <c r="P26" s="177"/>
      <c r="Q26" s="177"/>
      <c r="R26" s="177"/>
      <c r="S26" s="37">
        <f t="shared" si="16"/>
        <v>7.797899999999999</v>
      </c>
      <c r="T26" s="37"/>
      <c r="U26" s="37"/>
      <c r="V26" s="37">
        <v>7.797899999999999</v>
      </c>
      <c r="W26" s="37">
        <v>2.5993</v>
      </c>
      <c r="X26" s="37">
        <f>V26-W26-Y26</f>
        <v>3.8989499999999992</v>
      </c>
      <c r="Y26" s="37">
        <f>V26/1.2*0.2</f>
        <v>1.29965</v>
      </c>
      <c r="Z26" s="37"/>
      <c r="AA26" s="37">
        <f t="shared" si="17"/>
        <v>7.797899999999999</v>
      </c>
      <c r="AB26" s="37"/>
      <c r="AC26" s="37"/>
      <c r="AD26" s="37">
        <v>7.797899999999999</v>
      </c>
      <c r="AE26" s="37">
        <v>2.5993</v>
      </c>
      <c r="AF26" s="37">
        <f>AD26-AE26-AG26</f>
        <v>3.8989499999999992</v>
      </c>
      <c r="AG26" s="37">
        <f>AD26/1.2*0.2</f>
        <v>1.29965</v>
      </c>
      <c r="AH26" s="37"/>
      <c r="AI26" s="37">
        <f>SUM(AJ26:AL26)+AP26</f>
        <v>15.595799999999997</v>
      </c>
      <c r="AJ26" s="37"/>
      <c r="AK26" s="37"/>
      <c r="AL26" s="37">
        <f>SUM(AM26:AO26)</f>
        <v>15.595799999999997</v>
      </c>
      <c r="AM26" s="37">
        <f t="shared" si="19"/>
        <v>5.1986</v>
      </c>
      <c r="AN26" s="37">
        <f t="shared" si="20"/>
        <v>7.7978999999999985</v>
      </c>
      <c r="AO26" s="37">
        <f t="shared" si="21"/>
        <v>2.5993</v>
      </c>
      <c r="AP26" s="178"/>
      <c r="AR26" s="157">
        <f t="shared" si="1"/>
        <v>0</v>
      </c>
      <c r="AS26" s="157">
        <f t="shared" si="2"/>
        <v>0</v>
      </c>
      <c r="AT26" s="157">
        <f t="shared" si="3"/>
        <v>0</v>
      </c>
      <c r="AU26" s="157">
        <f t="shared" si="4"/>
        <v>0</v>
      </c>
      <c r="AV26" s="157">
        <f t="shared" si="5"/>
        <v>0</v>
      </c>
      <c r="AW26" s="157">
        <f t="shared" si="6"/>
        <v>0</v>
      </c>
      <c r="AX26" s="157">
        <f t="shared" si="7"/>
        <v>-2.220446049250313E-16</v>
      </c>
      <c r="AY26" s="157">
        <f t="shared" si="8"/>
        <v>0</v>
      </c>
      <c r="AZ26" s="157">
        <f t="shared" si="9"/>
        <v>-2.220446049250313E-16</v>
      </c>
      <c r="BA26" s="157">
        <f t="shared" si="10"/>
        <v>0</v>
      </c>
      <c r="BB26" s="157">
        <f t="shared" si="11"/>
        <v>-2.220446049250313E-16</v>
      </c>
      <c r="BC26" s="157">
        <f t="shared" si="12"/>
        <v>0</v>
      </c>
    </row>
    <row r="27" spans="1:55" s="35" customFormat="1" ht="18.75">
      <c r="A27" s="68" t="s">
        <v>139</v>
      </c>
      <c r="B27" s="147" t="s">
        <v>130</v>
      </c>
      <c r="C27" s="148"/>
      <c r="D27" s="149"/>
      <c r="E27" s="149"/>
      <c r="F27" s="145"/>
      <c r="G27" s="37"/>
      <c r="H27" s="60"/>
      <c r="I27" s="37"/>
      <c r="J27" s="37"/>
      <c r="K27" s="177"/>
      <c r="L27" s="177"/>
      <c r="M27" s="177"/>
      <c r="N27" s="177"/>
      <c r="O27" s="177"/>
      <c r="P27" s="177"/>
      <c r="Q27" s="177"/>
      <c r="R27" s="17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179"/>
      <c r="AQ27" s="1"/>
      <c r="AR27" s="157">
        <f t="shared" si="1"/>
        <v>0</v>
      </c>
      <c r="AS27" s="157">
        <f t="shared" si="2"/>
        <v>0</v>
      </c>
      <c r="AT27" s="157">
        <f t="shared" si="3"/>
        <v>0</v>
      </c>
      <c r="AU27" s="157">
        <f t="shared" si="4"/>
        <v>0</v>
      </c>
      <c r="AV27" s="157">
        <f t="shared" si="5"/>
        <v>0</v>
      </c>
      <c r="AW27" s="157">
        <f t="shared" si="6"/>
        <v>0</v>
      </c>
      <c r="AX27" s="157">
        <f t="shared" si="7"/>
        <v>0</v>
      </c>
      <c r="AY27" s="157">
        <f t="shared" si="8"/>
        <v>0</v>
      </c>
      <c r="AZ27" s="157">
        <f t="shared" si="9"/>
        <v>0</v>
      </c>
      <c r="BA27" s="157">
        <f t="shared" si="10"/>
        <v>0</v>
      </c>
      <c r="BB27" s="157">
        <f t="shared" si="11"/>
        <v>0</v>
      </c>
      <c r="BC27" s="157">
        <f t="shared" si="12"/>
        <v>0</v>
      </c>
    </row>
    <row r="28" spans="1:55" s="35" customFormat="1" ht="15.75">
      <c r="A28" s="69" t="s">
        <v>114</v>
      </c>
      <c r="B28" s="141" t="s">
        <v>118</v>
      </c>
      <c r="C28" s="137" t="s">
        <v>211</v>
      </c>
      <c r="D28" s="41">
        <v>2021</v>
      </c>
      <c r="E28" s="41">
        <v>2023</v>
      </c>
      <c r="F28" s="145"/>
      <c r="G28" s="37">
        <v>804.99897626</v>
      </c>
      <c r="H28" s="60">
        <v>44300</v>
      </c>
      <c r="I28" s="37">
        <f>N28+V28+AD28</f>
        <v>836.17385216</v>
      </c>
      <c r="J28" s="37">
        <f>I28</f>
        <v>836.17385216</v>
      </c>
      <c r="K28" s="177">
        <f>N28</f>
        <v>278.79967157</v>
      </c>
      <c r="L28" s="177"/>
      <c r="M28" s="177"/>
      <c r="N28" s="37">
        <v>278.79967157</v>
      </c>
      <c r="O28" s="177">
        <v>5.56853740369281</v>
      </c>
      <c r="P28" s="177">
        <f>N28-O28-Q28</f>
        <v>226.76452223797384</v>
      </c>
      <c r="Q28" s="177">
        <f>N28/1.2*0.2</f>
        <v>46.466611928333336</v>
      </c>
      <c r="R28" s="177"/>
      <c r="S28" s="37">
        <f>V28</f>
        <v>278.71276851</v>
      </c>
      <c r="T28" s="37"/>
      <c r="U28" s="37"/>
      <c r="V28" s="37">
        <v>278.71276851</v>
      </c>
      <c r="W28" s="37">
        <v>44.2602819095796</v>
      </c>
      <c r="X28" s="37">
        <f>V28-W28-Y28</f>
        <v>188.0003585154204</v>
      </c>
      <c r="Y28" s="37">
        <f>V28/1.2*0.2</f>
        <v>46.452128085</v>
      </c>
      <c r="Z28" s="37"/>
      <c r="AA28" s="37">
        <f>AD28</f>
        <v>278.66141208</v>
      </c>
      <c r="AB28" s="37"/>
      <c r="AC28" s="37"/>
      <c r="AD28" s="37">
        <v>278.66141208</v>
      </c>
      <c r="AE28" s="37">
        <v>76.4006347479743</v>
      </c>
      <c r="AF28" s="37">
        <f>AD28-AE28-AG28</f>
        <v>155.8172086520257</v>
      </c>
      <c r="AG28" s="37">
        <f>AD28/1.2*0.2</f>
        <v>46.44356868</v>
      </c>
      <c r="AH28" s="37"/>
      <c r="AI28" s="37">
        <f t="shared" si="18"/>
        <v>836.1738521599998</v>
      </c>
      <c r="AJ28" s="37"/>
      <c r="AK28" s="37"/>
      <c r="AL28" s="37">
        <f t="shared" si="22"/>
        <v>836.1738521599998</v>
      </c>
      <c r="AM28" s="37">
        <f>O28+W28+AE28</f>
        <v>126.2294540612467</v>
      </c>
      <c r="AN28" s="37">
        <f>P28+X28+AF28</f>
        <v>570.5820894054199</v>
      </c>
      <c r="AO28" s="37">
        <f>Q28+Y28+AG28</f>
        <v>139.36230869333332</v>
      </c>
      <c r="AP28" s="178"/>
      <c r="AQ28" s="1"/>
      <c r="AR28" s="157">
        <f t="shared" si="1"/>
        <v>0</v>
      </c>
      <c r="AS28" s="157">
        <f t="shared" si="2"/>
        <v>0</v>
      </c>
      <c r="AT28" s="157">
        <f t="shared" si="3"/>
        <v>0</v>
      </c>
      <c r="AU28" s="157">
        <f t="shared" si="4"/>
        <v>0</v>
      </c>
      <c r="AV28" s="157">
        <f t="shared" si="5"/>
        <v>1.4210854715202004E-14</v>
      </c>
      <c r="AW28" s="157">
        <f t="shared" si="6"/>
        <v>0</v>
      </c>
      <c r="AX28" s="157">
        <f t="shared" si="7"/>
        <v>0</v>
      </c>
      <c r="AY28" s="157">
        <f t="shared" si="8"/>
        <v>0</v>
      </c>
      <c r="AZ28" s="157">
        <f t="shared" si="9"/>
        <v>0</v>
      </c>
      <c r="BA28" s="157">
        <f t="shared" si="10"/>
        <v>0</v>
      </c>
      <c r="BB28" s="157">
        <f t="shared" si="11"/>
        <v>0</v>
      </c>
      <c r="BC28" s="157">
        <f t="shared" si="12"/>
        <v>0</v>
      </c>
    </row>
    <row r="29" spans="1:55" s="35" customFormat="1" ht="18.75">
      <c r="A29" s="68" t="s">
        <v>137</v>
      </c>
      <c r="B29" s="155" t="s">
        <v>129</v>
      </c>
      <c r="C29" s="36"/>
      <c r="D29" s="41"/>
      <c r="E29" s="41"/>
      <c r="F29" s="145"/>
      <c r="G29" s="37"/>
      <c r="H29" s="60"/>
      <c r="I29" s="37"/>
      <c r="J29" s="37"/>
      <c r="K29" s="177"/>
      <c r="L29" s="177"/>
      <c r="M29" s="177"/>
      <c r="N29" s="177"/>
      <c r="O29" s="177"/>
      <c r="P29" s="177"/>
      <c r="Q29" s="177"/>
      <c r="R29" s="17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179"/>
      <c r="AQ29" s="1"/>
      <c r="AR29" s="157">
        <f t="shared" si="1"/>
        <v>0</v>
      </c>
      <c r="AS29" s="157">
        <f t="shared" si="2"/>
        <v>0</v>
      </c>
      <c r="AT29" s="157">
        <f t="shared" si="3"/>
        <v>0</v>
      </c>
      <c r="AU29" s="157">
        <f t="shared" si="4"/>
        <v>0</v>
      </c>
      <c r="AV29" s="157">
        <f t="shared" si="5"/>
        <v>0</v>
      </c>
      <c r="AW29" s="157">
        <f t="shared" si="6"/>
        <v>0</v>
      </c>
      <c r="AX29" s="157">
        <f t="shared" si="7"/>
        <v>0</v>
      </c>
      <c r="AY29" s="157">
        <f t="shared" si="8"/>
        <v>0</v>
      </c>
      <c r="AZ29" s="157">
        <f t="shared" si="9"/>
        <v>0</v>
      </c>
      <c r="BA29" s="157">
        <f t="shared" si="10"/>
        <v>0</v>
      </c>
      <c r="BB29" s="157">
        <f t="shared" si="11"/>
        <v>0</v>
      </c>
      <c r="BC29" s="157">
        <f t="shared" si="12"/>
        <v>0</v>
      </c>
    </row>
    <row r="30" spans="1:55" ht="15.75">
      <c r="A30" s="69" t="s">
        <v>138</v>
      </c>
      <c r="B30" s="38" t="s">
        <v>215</v>
      </c>
      <c r="C30" s="137" t="s">
        <v>216</v>
      </c>
      <c r="D30" s="41">
        <v>2022</v>
      </c>
      <c r="E30" s="41">
        <v>2022</v>
      </c>
      <c r="F30" s="37"/>
      <c r="G30" s="37">
        <v>27.308</v>
      </c>
      <c r="H30" s="60">
        <v>44300</v>
      </c>
      <c r="I30" s="37">
        <f>G30</f>
        <v>27.308</v>
      </c>
      <c r="J30" s="37">
        <f>I30</f>
        <v>27.308</v>
      </c>
      <c r="K30" s="177">
        <f>SUM(L30:N30)+R30</f>
        <v>0</v>
      </c>
      <c r="L30" s="177"/>
      <c r="M30" s="177"/>
      <c r="N30" s="177"/>
      <c r="O30" s="177"/>
      <c r="P30" s="177"/>
      <c r="Q30" s="177"/>
      <c r="R30" s="177"/>
      <c r="S30" s="37">
        <f>SUM(T30:V30)+Z30</f>
        <v>27.308</v>
      </c>
      <c r="T30" s="37"/>
      <c r="U30" s="37"/>
      <c r="V30" s="37">
        <f>G30</f>
        <v>27.308</v>
      </c>
      <c r="W30" s="37"/>
      <c r="X30" s="37">
        <f>V30-W30-Y30</f>
        <v>22.756666666666668</v>
      </c>
      <c r="Y30" s="37">
        <f>V30/1.2*0.2</f>
        <v>4.551333333333334</v>
      </c>
      <c r="Z30" s="37"/>
      <c r="AA30" s="37">
        <f>SUM(AB30:AD30)+AH30</f>
        <v>0</v>
      </c>
      <c r="AB30" s="37"/>
      <c r="AC30" s="37"/>
      <c r="AD30" s="37"/>
      <c r="AE30" s="37"/>
      <c r="AF30" s="37"/>
      <c r="AG30" s="37"/>
      <c r="AH30" s="37"/>
      <c r="AI30" s="37">
        <f t="shared" si="18"/>
        <v>27.308</v>
      </c>
      <c r="AJ30" s="37"/>
      <c r="AK30" s="37"/>
      <c r="AL30" s="37">
        <f t="shared" si="22"/>
        <v>27.308</v>
      </c>
      <c r="AM30" s="37">
        <f>O30+W30+AE30</f>
        <v>0</v>
      </c>
      <c r="AN30" s="37">
        <f>P30+X30+AF30</f>
        <v>22.756666666666668</v>
      </c>
      <c r="AO30" s="37">
        <f>Q30+Y30+AG30</f>
        <v>4.551333333333334</v>
      </c>
      <c r="AP30" s="178"/>
      <c r="AR30" s="157">
        <f t="shared" si="1"/>
        <v>0</v>
      </c>
      <c r="AS30" s="157">
        <f t="shared" si="2"/>
        <v>0</v>
      </c>
      <c r="AT30" s="157">
        <f t="shared" si="3"/>
        <v>0</v>
      </c>
      <c r="AU30" s="157">
        <f t="shared" si="4"/>
        <v>0</v>
      </c>
      <c r="AV30" s="157">
        <f t="shared" si="5"/>
        <v>0</v>
      </c>
      <c r="AW30" s="157">
        <f t="shared" si="6"/>
        <v>0</v>
      </c>
      <c r="AX30" s="157">
        <f t="shared" si="7"/>
        <v>-1.7763568394002505E-15</v>
      </c>
      <c r="AY30" s="157">
        <f t="shared" si="8"/>
        <v>0</v>
      </c>
      <c r="AZ30" s="157">
        <f t="shared" si="9"/>
        <v>-1.7763568394002505E-15</v>
      </c>
      <c r="BA30" s="157">
        <f t="shared" si="10"/>
        <v>0</v>
      </c>
      <c r="BB30" s="157">
        <f t="shared" si="11"/>
        <v>0</v>
      </c>
      <c r="BC30" s="157">
        <f t="shared" si="12"/>
        <v>0</v>
      </c>
    </row>
    <row r="31" spans="1:55" ht="17.25" thickBot="1">
      <c r="A31" s="69"/>
      <c r="B31" s="38"/>
      <c r="C31" s="137"/>
      <c r="D31" s="41"/>
      <c r="E31" s="41"/>
      <c r="F31" s="37"/>
      <c r="G31" s="37"/>
      <c r="H31" s="60"/>
      <c r="I31" s="37"/>
      <c r="J31" s="37"/>
      <c r="K31" s="177"/>
      <c r="L31" s="177"/>
      <c r="M31" s="177"/>
      <c r="N31" s="177"/>
      <c r="O31" s="177"/>
      <c r="P31" s="177"/>
      <c r="Q31" s="177"/>
      <c r="R31" s="17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154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178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</row>
    <row r="32" spans="1:55" s="35" customFormat="1" ht="16.5" thickBot="1">
      <c r="A32" s="104"/>
      <c r="B32" s="171" t="s">
        <v>144</v>
      </c>
      <c r="C32" s="172"/>
      <c r="D32" s="173"/>
      <c r="E32" s="173"/>
      <c r="F32" s="174"/>
      <c r="G32" s="174">
        <f>SUM(G13:G31)</f>
        <v>888.4594728934699</v>
      </c>
      <c r="H32" s="174"/>
      <c r="I32" s="174">
        <f>SUM(I13:I31)</f>
        <v>919.8937503934699</v>
      </c>
      <c r="J32" s="174">
        <f>SUM(J13:J31)</f>
        <v>919.8937503934699</v>
      </c>
      <c r="K32" s="174">
        <f>SUM(K13:K31)</f>
        <v>278.79967157</v>
      </c>
      <c r="L32" s="174"/>
      <c r="M32" s="174"/>
      <c r="N32" s="174">
        <f>SUM(N13:N31)</f>
        <v>278.79967157</v>
      </c>
      <c r="O32" s="174">
        <f>SUM(O13:O31)</f>
        <v>5.56853740369281</v>
      </c>
      <c r="P32" s="174">
        <f>SUM(P13:P31)</f>
        <v>226.76452223797384</v>
      </c>
      <c r="Q32" s="174">
        <f>SUM(Q13:Q31)</f>
        <v>46.466611928333336</v>
      </c>
      <c r="R32" s="174"/>
      <c r="S32" s="174">
        <f>SUM(S13:S31)</f>
        <v>334.9200966910945</v>
      </c>
      <c r="T32" s="174"/>
      <c r="U32" s="174"/>
      <c r="V32" s="174">
        <f>SUM(V13:V31)</f>
        <v>334.9200966910945</v>
      </c>
      <c r="W32" s="174">
        <f>SUM(W13:W31)</f>
        <v>61.4904689195796</v>
      </c>
      <c r="X32" s="174">
        <f>SUM(X13:X31)</f>
        <v>217.60961165633248</v>
      </c>
      <c r="Y32" s="174">
        <f>SUM(Y13:Y31)</f>
        <v>55.82001611518241</v>
      </c>
      <c r="Z32" s="174"/>
      <c r="AA32" s="174">
        <f>SUM(AA13:AA31)</f>
        <v>306.1739821323754</v>
      </c>
      <c r="AB32" s="174"/>
      <c r="AC32" s="174"/>
      <c r="AD32" s="174">
        <f>SUM(AD13:AD31)</f>
        <v>306.1739821323754</v>
      </c>
      <c r="AE32" s="174">
        <f>SUM(AE13:AE31)</f>
        <v>95.37438445828712</v>
      </c>
      <c r="AF32" s="174">
        <f>SUM(AF13:AF31)</f>
        <v>159.7706006520257</v>
      </c>
      <c r="AG32" s="174">
        <f>SUM(AG13:AG31)</f>
        <v>51.02899702206257</v>
      </c>
      <c r="AH32" s="174"/>
      <c r="AI32" s="174">
        <f aca="true" t="shared" si="23" ref="AI32:AO32">SUM(AI13:AI31)</f>
        <v>919.8937503934696</v>
      </c>
      <c r="AJ32" s="174">
        <f t="shared" si="23"/>
        <v>0</v>
      </c>
      <c r="AK32" s="174">
        <f t="shared" si="23"/>
        <v>0</v>
      </c>
      <c r="AL32" s="174">
        <f t="shared" si="23"/>
        <v>919.8937503934696</v>
      </c>
      <c r="AM32" s="174">
        <f t="shared" si="23"/>
        <v>162.43339078155952</v>
      </c>
      <c r="AN32" s="174">
        <f t="shared" si="23"/>
        <v>604.144734546332</v>
      </c>
      <c r="AO32" s="174">
        <f t="shared" si="23"/>
        <v>153.3156250655783</v>
      </c>
      <c r="AP32" s="180"/>
      <c r="AQ32" s="1"/>
      <c r="AR32" s="157">
        <f t="shared" si="1"/>
        <v>0</v>
      </c>
      <c r="AS32" s="157">
        <f t="shared" si="2"/>
        <v>0</v>
      </c>
      <c r="AT32" s="157">
        <f t="shared" si="3"/>
        <v>0</v>
      </c>
      <c r="AU32" s="157">
        <f t="shared" si="4"/>
        <v>0</v>
      </c>
      <c r="AV32" s="157">
        <f t="shared" si="5"/>
        <v>1.4210854715202004E-14</v>
      </c>
      <c r="AW32" s="157">
        <f t="shared" si="6"/>
        <v>0</v>
      </c>
      <c r="AX32" s="157">
        <f t="shared" si="7"/>
        <v>1.4210854715202004E-14</v>
      </c>
      <c r="AY32" s="157">
        <f t="shared" si="8"/>
        <v>0</v>
      </c>
      <c r="AZ32" s="157">
        <f t="shared" si="9"/>
        <v>1.4210854715202004E-14</v>
      </c>
      <c r="BA32" s="157">
        <f t="shared" si="10"/>
        <v>0</v>
      </c>
      <c r="BB32" s="157">
        <f t="shared" si="11"/>
        <v>-1.4210854715202004E-14</v>
      </c>
      <c r="BC32" s="157">
        <f t="shared" si="12"/>
        <v>0</v>
      </c>
    </row>
    <row r="33" spans="1:42" ht="18.75">
      <c r="A33" s="220"/>
      <c r="B33" s="220"/>
      <c r="C33" s="40"/>
      <c r="D33" s="40"/>
      <c r="E33" s="40"/>
      <c r="F33" s="40"/>
      <c r="G33" s="199"/>
      <c r="H33" s="199"/>
      <c r="I33" s="51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1" ht="28.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E34" s="44"/>
      <c r="AF34" s="44"/>
      <c r="AG34" s="44"/>
      <c r="AH34" s="40"/>
      <c r="AI34" s="40"/>
      <c r="AM34" s="1"/>
      <c r="AN34" s="1"/>
      <c r="AO34" s="1"/>
    </row>
    <row r="35" spans="1:41" ht="23.25" customHeight="1">
      <c r="A35" s="11"/>
      <c r="B35" s="11"/>
      <c r="C35" s="11"/>
      <c r="D35" s="11"/>
      <c r="E35" s="11"/>
      <c r="F35" s="11"/>
      <c r="G35" s="200"/>
      <c r="H35" s="11"/>
      <c r="I35" s="11"/>
      <c r="J35" s="11"/>
      <c r="K35" s="40"/>
      <c r="O35" s="44"/>
      <c r="P35" s="44"/>
      <c r="Q35" s="44"/>
      <c r="S35" s="40"/>
      <c r="W35" s="44"/>
      <c r="X35" s="44"/>
      <c r="Y35" s="44"/>
      <c r="AA35" s="40"/>
      <c r="AE35" s="44"/>
      <c r="AF35" s="44"/>
      <c r="AG35" s="44"/>
      <c r="AL35" s="40"/>
      <c r="AM35" s="40"/>
      <c r="AN35" s="1"/>
      <c r="AO35" s="1"/>
    </row>
    <row r="36" spans="3:41" ht="16.5" customHeight="1">
      <c r="C36" s="11"/>
      <c r="G36" s="112"/>
      <c r="I36" s="112"/>
      <c r="K36" s="112"/>
      <c r="O36" s="44"/>
      <c r="P36" s="44"/>
      <c r="Q36" s="44"/>
      <c r="S36" s="112"/>
      <c r="W36" s="113"/>
      <c r="X36" s="44"/>
      <c r="Y36" s="44"/>
      <c r="AA36" s="112"/>
      <c r="AE36" s="44"/>
      <c r="AF36" s="44"/>
      <c r="AG36" s="44"/>
      <c r="AI36" s="40"/>
      <c r="AL36" s="112"/>
      <c r="AM36" s="1"/>
      <c r="AN36" s="1"/>
      <c r="AO36" s="1"/>
    </row>
    <row r="37" spans="3:41" ht="15.75">
      <c r="C37" s="11"/>
      <c r="G37" s="112"/>
      <c r="I37" s="112"/>
      <c r="K37" s="112"/>
      <c r="O37" s="1"/>
      <c r="P37" s="1"/>
      <c r="Q37" s="1"/>
      <c r="R37" s="40"/>
      <c r="S37" s="112"/>
      <c r="W37" s="40"/>
      <c r="X37" s="1"/>
      <c r="Y37" s="1"/>
      <c r="AA37" s="112"/>
      <c r="AE37" s="40"/>
      <c r="AF37" s="40"/>
      <c r="AG37" s="1"/>
      <c r="AL37" s="112"/>
      <c r="AM37" s="1"/>
      <c r="AN37" s="1"/>
      <c r="AO37" s="1"/>
    </row>
    <row r="38" spans="2:42" ht="18" customHeight="1">
      <c r="B38" s="11"/>
      <c r="C38" s="11"/>
      <c r="D38" s="11"/>
      <c r="E38" s="11"/>
      <c r="F38" s="11"/>
      <c r="G38" s="165">
        <f>G32-G30-G28-G26-G25-G24-G23-G22-G21-G20-G18-G17-G16-G15-G14</f>
        <v>2.3564483697668948E-14</v>
      </c>
      <c r="H38" s="146"/>
      <c r="I38" s="165">
        <f aca="true" t="shared" si="24" ref="I38:AP38">I32-I30-I28-I26-I25-I24-I23-I22-I21-I20-I18-I17-I16-I15-I14</f>
        <v>-4.39648317751562E-14</v>
      </c>
      <c r="J38" s="165">
        <f t="shared" si="24"/>
        <v>-4.39648317751562E-14</v>
      </c>
      <c r="K38" s="165">
        <f t="shared" si="24"/>
        <v>0</v>
      </c>
      <c r="L38" s="165">
        <f t="shared" si="24"/>
        <v>0</v>
      </c>
      <c r="M38" s="165">
        <f t="shared" si="24"/>
        <v>0</v>
      </c>
      <c r="N38" s="165">
        <f t="shared" si="24"/>
        <v>0</v>
      </c>
      <c r="O38" s="165">
        <f t="shared" si="24"/>
        <v>0</v>
      </c>
      <c r="P38" s="165">
        <f t="shared" si="24"/>
        <v>0</v>
      </c>
      <c r="Q38" s="165">
        <f t="shared" si="24"/>
        <v>0</v>
      </c>
      <c r="R38" s="165">
        <f t="shared" si="24"/>
        <v>0</v>
      </c>
      <c r="S38" s="165">
        <f t="shared" si="24"/>
        <v>2.1094237467877974E-14</v>
      </c>
      <c r="T38" s="165">
        <f t="shared" si="24"/>
        <v>0</v>
      </c>
      <c r="U38" s="165">
        <f t="shared" si="24"/>
        <v>0</v>
      </c>
      <c r="V38" s="165">
        <f t="shared" si="24"/>
        <v>2.1094237467877974E-14</v>
      </c>
      <c r="W38" s="165">
        <f t="shared" si="24"/>
        <v>2.8033131371785203E-15</v>
      </c>
      <c r="X38" s="165">
        <f t="shared" si="24"/>
        <v>-1.3322676295501878E-15</v>
      </c>
      <c r="Y38" s="165">
        <f t="shared" si="24"/>
        <v>-1.9012569296705806E-15</v>
      </c>
      <c r="Z38" s="165">
        <f t="shared" si="24"/>
        <v>0</v>
      </c>
      <c r="AA38" s="165">
        <f t="shared" si="24"/>
        <v>-4.218847493575595E-15</v>
      </c>
      <c r="AB38" s="165">
        <f t="shared" si="24"/>
        <v>0</v>
      </c>
      <c r="AC38" s="165">
        <f t="shared" si="24"/>
        <v>0</v>
      </c>
      <c r="AD38" s="165">
        <f t="shared" si="24"/>
        <v>-4.218847493575595E-15</v>
      </c>
      <c r="AE38" s="165">
        <f t="shared" si="24"/>
        <v>-1.9984014443252818E-15</v>
      </c>
      <c r="AF38" s="165">
        <f t="shared" si="24"/>
        <v>8.715250743307479E-15</v>
      </c>
      <c r="AG38" s="165">
        <f t="shared" si="24"/>
        <v>3.4139358007223564E-15</v>
      </c>
      <c r="AH38" s="165">
        <f t="shared" si="24"/>
        <v>0</v>
      </c>
      <c r="AI38" s="165">
        <f t="shared" si="24"/>
        <v>-4.263256414560601E-14</v>
      </c>
      <c r="AJ38" s="165">
        <f t="shared" si="24"/>
        <v>0</v>
      </c>
      <c r="AK38" s="165">
        <f t="shared" si="24"/>
        <v>0</v>
      </c>
      <c r="AL38" s="165">
        <f t="shared" si="24"/>
        <v>-4.263256414560601E-14</v>
      </c>
      <c r="AM38" s="165">
        <f t="shared" si="24"/>
        <v>-2.525757381022231E-15</v>
      </c>
      <c r="AN38" s="165">
        <f t="shared" si="24"/>
        <v>7.549516567451064E-15</v>
      </c>
      <c r="AO38" s="165">
        <f t="shared" si="24"/>
        <v>2.0122792321330962E-15</v>
      </c>
      <c r="AP38" s="165">
        <f t="shared" si="24"/>
        <v>0</v>
      </c>
    </row>
    <row r="39" spans="1:41" ht="18" customHeight="1">
      <c r="A39" s="11"/>
      <c r="B39" s="11"/>
      <c r="C39" s="11"/>
      <c r="D39" s="11"/>
      <c r="E39" s="11"/>
      <c r="F39" s="11"/>
      <c r="G39" s="52"/>
      <c r="H39" s="11"/>
      <c r="I39" s="11"/>
      <c r="O39" s="40"/>
      <c r="P39" s="1"/>
      <c r="Q39" s="1"/>
      <c r="W39" s="40"/>
      <c r="X39" s="1"/>
      <c r="Y39" s="1"/>
      <c r="AE39" s="40"/>
      <c r="AF39" s="1"/>
      <c r="AG39" s="1"/>
      <c r="AM39" s="1"/>
      <c r="AN39" s="1"/>
      <c r="AO39" s="1"/>
    </row>
    <row r="40" spans="1:41" ht="15.75">
      <c r="A40" s="53"/>
      <c r="B40" s="53"/>
      <c r="C40" s="11"/>
      <c r="D40" s="53"/>
      <c r="E40" s="53"/>
      <c r="F40" s="53"/>
      <c r="G40" s="56"/>
      <c r="H40" s="53"/>
      <c r="O40" s="1"/>
      <c r="P40" s="1"/>
      <c r="Q40" s="1"/>
      <c r="W40" s="1"/>
      <c r="X40" s="1"/>
      <c r="Y40" s="1"/>
      <c r="AE40" s="1"/>
      <c r="AF40" s="1"/>
      <c r="AG40" s="1"/>
      <c r="AM40" s="1"/>
      <c r="AN40" s="1"/>
      <c r="AO40" s="1"/>
    </row>
    <row r="41" spans="2:23" ht="15.75">
      <c r="B41" s="54"/>
      <c r="C41" s="54"/>
      <c r="D41" s="54"/>
      <c r="E41" s="54"/>
      <c r="F41" s="54"/>
      <c r="G41" s="57"/>
      <c r="H41" s="54"/>
      <c r="I41" s="54"/>
      <c r="W41" s="1"/>
    </row>
    <row r="42" spans="2:9" ht="15.75">
      <c r="B42" s="11"/>
      <c r="C42" s="11"/>
      <c r="D42" s="11"/>
      <c r="E42" s="11"/>
      <c r="F42" s="11"/>
      <c r="G42" s="52"/>
      <c r="H42" s="11"/>
      <c r="I42" s="11"/>
    </row>
    <row r="43" spans="2:9" ht="15.75">
      <c r="B43" s="54"/>
      <c r="C43" s="54"/>
      <c r="D43" s="54"/>
      <c r="E43" s="54"/>
      <c r="F43" s="54"/>
      <c r="G43" s="58"/>
      <c r="H43" s="54"/>
      <c r="I43" s="54"/>
    </row>
    <row r="44" spans="2:9" ht="15.75">
      <c r="B44" s="12"/>
      <c r="C44" s="12"/>
      <c r="D44" s="12"/>
      <c r="E44" s="12"/>
      <c r="F44" s="12"/>
      <c r="G44" s="59"/>
      <c r="H44" s="12"/>
      <c r="I44" s="12"/>
    </row>
    <row r="45" spans="2:7" ht="15.75">
      <c r="B45" s="12"/>
      <c r="G45" s="55"/>
    </row>
    <row r="46" spans="2:9" ht="15.75">
      <c r="B46" s="214"/>
      <c r="C46" s="214"/>
      <c r="D46" s="214"/>
      <c r="E46" s="214"/>
      <c r="F46" s="214"/>
      <c r="G46" s="214"/>
      <c r="H46" s="214"/>
      <c r="I46" s="214"/>
    </row>
    <row r="48" ht="15.75">
      <c r="S48" s="131"/>
    </row>
  </sheetData>
  <sheetProtection/>
  <mergeCells count="21">
    <mergeCell ref="AI10:AP10"/>
    <mergeCell ref="S10:Z10"/>
    <mergeCell ref="AA10:AH10"/>
    <mergeCell ref="C9:C11"/>
    <mergeCell ref="F9:H9"/>
    <mergeCell ref="B46:I46"/>
    <mergeCell ref="D9:D11"/>
    <mergeCell ref="J9:J10"/>
    <mergeCell ref="K9:AP9"/>
    <mergeCell ref="F10:H10"/>
    <mergeCell ref="A33:B33"/>
    <mergeCell ref="B9:B11"/>
    <mergeCell ref="E9:E10"/>
    <mergeCell ref="I9:I10"/>
    <mergeCell ref="A34:AC34"/>
    <mergeCell ref="A3:Z3"/>
    <mergeCell ref="A4:Z4"/>
    <mergeCell ref="A6:Z6"/>
    <mergeCell ref="A7:Z7"/>
    <mergeCell ref="A9:A11"/>
    <mergeCell ref="K10:R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27 O27:Q27 G13 O13:Q13 I23 O20:P24 W20:W26 W30:W31 AE23:AE26 AE16:AE18 W14:W18 O28 O30:O31 AE28 AE31 W28 AE20:AE21 O26:P26 G22:G23">
      <formula1>900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view="pageBreakPreview" zoomScale="70" zoomScaleNormal="78" zoomScaleSheetLayoutView="70" zoomScalePageLayoutView="0" workbookViewId="0" topLeftCell="A6">
      <selection activeCell="M10" sqref="M10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15.125" style="1" customWidth="1"/>
    <col min="4" max="4" width="11.625" style="1" customWidth="1"/>
    <col min="5" max="5" width="14.875" style="1" customWidth="1"/>
    <col min="6" max="6" width="30.75390625" style="1" customWidth="1"/>
    <col min="7" max="11" width="15.00390625" style="1" bestFit="1" customWidth="1"/>
    <col min="12" max="12" width="23.25390625" style="1" customWidth="1"/>
    <col min="13" max="14" width="15.00390625" style="1" bestFit="1" customWidth="1"/>
    <col min="15" max="15" width="19.25390625" style="1" bestFit="1" customWidth="1"/>
    <col min="16" max="16" width="9.875" style="1" hidden="1" customWidth="1"/>
    <col min="17" max="17" width="11.25390625" style="1" customWidth="1"/>
    <col min="18" max="18" width="14.003906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8.1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5.75">
      <c r="O1" s="48" t="s">
        <v>88</v>
      </c>
    </row>
    <row r="2" spans="15:26" ht="18.75">
      <c r="O2" s="3"/>
      <c r="Z2" s="63">
        <f>L31*1.2</f>
        <v>278.79967156999993</v>
      </c>
    </row>
    <row r="3" spans="1:15" ht="18.75">
      <c r="A3" s="223" t="s">
        <v>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46" ht="18.75">
      <c r="A4" s="223" t="s">
        <v>77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8" ht="18.75">
      <c r="A6" s="224" t="str">
        <f>'прил.1'!A6</f>
        <v>ОП "КурскАтомЭнергоСбыт" АО "АтомЭнергоСбыт" 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</row>
    <row r="7" spans="1:48" ht="15.75">
      <c r="A7" s="208" t="s">
        <v>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</row>
    <row r="8" spans="1:15" ht="15.75" customHeight="1" thickBo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5" ht="82.5" customHeight="1">
      <c r="A9" s="209" t="s">
        <v>3</v>
      </c>
      <c r="B9" s="217" t="s">
        <v>69</v>
      </c>
      <c r="C9" s="217" t="s">
        <v>70</v>
      </c>
      <c r="D9" s="215" t="s">
        <v>6</v>
      </c>
      <c r="E9" s="217" t="s">
        <v>78</v>
      </c>
      <c r="F9" s="217" t="s">
        <v>79</v>
      </c>
      <c r="G9" s="217" t="s">
        <v>120</v>
      </c>
      <c r="H9" s="217"/>
      <c r="I9" s="217"/>
      <c r="J9" s="228" t="s">
        <v>121</v>
      </c>
      <c r="K9" s="228"/>
      <c r="L9" s="217" t="s">
        <v>119</v>
      </c>
      <c r="M9" s="217"/>
      <c r="N9" s="217"/>
      <c r="O9" s="219"/>
    </row>
    <row r="10" spans="1:15" ht="40.5" customHeight="1">
      <c r="A10" s="210"/>
      <c r="B10" s="218"/>
      <c r="C10" s="218"/>
      <c r="D10" s="216"/>
      <c r="E10" s="218"/>
      <c r="F10" s="218"/>
      <c r="G10" s="211" t="s">
        <v>11</v>
      </c>
      <c r="H10" s="212"/>
      <c r="I10" s="212"/>
      <c r="J10" s="211" t="s">
        <v>179</v>
      </c>
      <c r="K10" s="213"/>
      <c r="L10" s="24" t="s">
        <v>67</v>
      </c>
      <c r="M10" s="24" t="s">
        <v>117</v>
      </c>
      <c r="N10" s="24" t="s">
        <v>180</v>
      </c>
      <c r="O10" s="226" t="s">
        <v>12</v>
      </c>
    </row>
    <row r="11" spans="1:15" ht="110.25">
      <c r="A11" s="210"/>
      <c r="B11" s="218"/>
      <c r="C11" s="218"/>
      <c r="D11" s="216"/>
      <c r="E11" s="27" t="s">
        <v>11</v>
      </c>
      <c r="F11" s="27" t="s">
        <v>13</v>
      </c>
      <c r="G11" s="7" t="s">
        <v>80</v>
      </c>
      <c r="H11" s="28" t="s">
        <v>81</v>
      </c>
      <c r="I11" s="28" t="s">
        <v>82</v>
      </c>
      <c r="J11" s="7" t="s">
        <v>83</v>
      </c>
      <c r="K11" s="7" t="s">
        <v>84</v>
      </c>
      <c r="L11" s="6" t="s">
        <v>11</v>
      </c>
      <c r="M11" s="6" t="s">
        <v>11</v>
      </c>
      <c r="N11" s="6" t="s">
        <v>11</v>
      </c>
      <c r="O11" s="226"/>
    </row>
    <row r="12" spans="1:16" ht="19.5" customHeight="1">
      <c r="A12" s="6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107">
        <v>15</v>
      </c>
      <c r="P12" s="32">
        <v>11</v>
      </c>
    </row>
    <row r="13" spans="1:17" ht="16.5">
      <c r="A13" s="73" t="str">
        <f>'прил.1'!A13</f>
        <v>1.</v>
      </c>
      <c r="B13" s="152" t="s">
        <v>108</v>
      </c>
      <c r="C13" s="153"/>
      <c r="D13" s="41"/>
      <c r="E13" s="41"/>
      <c r="F13" s="154"/>
      <c r="G13" s="154"/>
      <c r="H13" s="154"/>
      <c r="I13" s="42"/>
      <c r="J13" s="42"/>
      <c r="K13" s="37"/>
      <c r="L13" s="46"/>
      <c r="M13" s="42"/>
      <c r="N13" s="42"/>
      <c r="O13" s="74"/>
      <c r="P13" s="108"/>
      <c r="Q13" s="108"/>
    </row>
    <row r="14" spans="1:21" ht="15.75">
      <c r="A14" s="69" t="str">
        <f>'прил.1'!A14</f>
        <v>1.1.</v>
      </c>
      <c r="B14" s="38" t="str">
        <f>'прил.1'!B14</f>
        <v>Установка шлагбаумов: г.Курск, ул. Энгельса, д.134 </v>
      </c>
      <c r="C14" s="64" t="str">
        <f>'прил.1'!C14</f>
        <v>K_L01</v>
      </c>
      <c r="D14" s="114">
        <f>'прил.1'!D14</f>
        <v>2022</v>
      </c>
      <c r="E14" s="114">
        <f>'прил.1'!E14</f>
        <v>2022</v>
      </c>
      <c r="F14" s="177">
        <f>'прил.1'!G14/1.2</f>
        <v>0.195</v>
      </c>
      <c r="G14" s="177">
        <f>SUM(H14:I14)</f>
        <v>0.20280000000000004</v>
      </c>
      <c r="H14" s="177">
        <f>'прил.1'!I14/1.2</f>
        <v>0.20280000000000004</v>
      </c>
      <c r="I14" s="182"/>
      <c r="J14" s="182"/>
      <c r="K14" s="177">
        <f>O14</f>
        <v>0.2028</v>
      </c>
      <c r="L14" s="183">
        <f>'прил.1'!K14-'прил.1'!Q14</f>
        <v>0</v>
      </c>
      <c r="M14" s="183">
        <f>'прил.1'!S14-'прил.1'!Y14</f>
        <v>0.2028</v>
      </c>
      <c r="N14" s="183">
        <f>'прил.1'!AA14-'прил.1'!AG14</f>
        <v>0</v>
      </c>
      <c r="O14" s="185">
        <f>L14+M14+N14</f>
        <v>0.2028</v>
      </c>
      <c r="P14" s="40">
        <f>O14-G14</f>
        <v>0</v>
      </c>
      <c r="Q14" s="176">
        <f>O14-N14-M14-L14</f>
        <v>0</v>
      </c>
      <c r="R14" s="108"/>
      <c r="S14" s="108"/>
      <c r="T14" s="40"/>
      <c r="U14" s="108"/>
    </row>
    <row r="15" spans="1:21" ht="15.75">
      <c r="A15" s="69" t="str">
        <f>'прил.1'!A15</f>
        <v>1.2.</v>
      </c>
      <c r="B15" s="133" t="str">
        <f>'прил.1'!B15</f>
        <v>Модернизация системы контроля и управления доступом: г. Курск, ул. Энгельса, д. 134</v>
      </c>
      <c r="C15" s="134" t="str">
        <f>'прил.1'!C15</f>
        <v>K_L02</v>
      </c>
      <c r="D15" s="135">
        <f>'прил.1'!D15</f>
        <v>2022</v>
      </c>
      <c r="E15" s="135">
        <f>'прил.1'!E15</f>
        <v>2022</v>
      </c>
      <c r="F15" s="177">
        <f>'прил.1'!G15/1.2</f>
        <v>0.24</v>
      </c>
      <c r="G15" s="177">
        <f>SUM(H15:I15)</f>
        <v>0.24960000000000002</v>
      </c>
      <c r="H15" s="177">
        <f>'прил.1'!I15/1.2</f>
        <v>0.24960000000000002</v>
      </c>
      <c r="I15" s="182"/>
      <c r="J15" s="182"/>
      <c r="K15" s="177">
        <f>O15</f>
        <v>0.2496</v>
      </c>
      <c r="L15" s="183">
        <f>'прил.1'!K15-'прил.1'!Q15</f>
        <v>0</v>
      </c>
      <c r="M15" s="183">
        <f>'прил.1'!S15-'прил.1'!Y15</f>
        <v>0.2496</v>
      </c>
      <c r="N15" s="183">
        <f>'прил.1'!AA15-'прил.1'!AG15</f>
        <v>0</v>
      </c>
      <c r="O15" s="185">
        <f>L15+M15+N15</f>
        <v>0.2496</v>
      </c>
      <c r="P15" s="40"/>
      <c r="Q15" s="176">
        <f aca="true" t="shared" si="0" ref="Q15:Q31">O15-N15-M15-L15</f>
        <v>0</v>
      </c>
      <c r="R15" s="40"/>
      <c r="T15" s="40"/>
      <c r="U15" s="108"/>
    </row>
    <row r="16" spans="1:21" ht="15.75">
      <c r="A16" s="69" t="str">
        <f>'прил.1'!A16</f>
        <v>1.3.</v>
      </c>
      <c r="B16" s="133" t="str">
        <f>'прил.1'!B16</f>
        <v>Система видеонаблюдения: г. Курск, ул. Энгельса, д. 134</v>
      </c>
      <c r="C16" s="134" t="str">
        <f>'прил.1'!C16</f>
        <v>K_L03</v>
      </c>
      <c r="D16" s="135">
        <f>'прил.1'!D16</f>
        <v>2023</v>
      </c>
      <c r="E16" s="135">
        <f>'прил.1'!E16</f>
        <v>2023</v>
      </c>
      <c r="F16" s="177">
        <f>'прил.1'!G16/1.2</f>
        <v>0.99</v>
      </c>
      <c r="G16" s="177">
        <f>SUM(H16:I16)</f>
        <v>1.070784</v>
      </c>
      <c r="H16" s="177">
        <f>'прил.1'!I16/1.2</f>
        <v>1.070784</v>
      </c>
      <c r="I16" s="182"/>
      <c r="J16" s="182"/>
      <c r="K16" s="177">
        <f>O16</f>
        <v>1.070784</v>
      </c>
      <c r="L16" s="183">
        <f>'прил.1'!K16-'прил.1'!Q16</f>
        <v>0</v>
      </c>
      <c r="M16" s="183">
        <f>'прил.1'!S16-'прил.1'!Y16</f>
        <v>0</v>
      </c>
      <c r="N16" s="183">
        <f>'прил.1'!AA16-'прил.1'!AG16</f>
        <v>1.070784</v>
      </c>
      <c r="O16" s="185">
        <f>L16+M16+N16</f>
        <v>1.070784</v>
      </c>
      <c r="P16" s="40"/>
      <c r="Q16" s="176">
        <f t="shared" si="0"/>
        <v>0</v>
      </c>
      <c r="R16" s="40"/>
      <c r="T16" s="40"/>
      <c r="U16" s="108"/>
    </row>
    <row r="17" spans="1:21" ht="15.75">
      <c r="A17" s="69" t="str">
        <f>'прил.1'!A17</f>
        <v>1.4.</v>
      </c>
      <c r="B17" s="133" t="str">
        <f>'прил.1'!B17</f>
        <v>Охранно-пожарная сигнализация в участке </v>
      </c>
      <c r="C17" s="134" t="str">
        <f>'прил.1'!C17</f>
        <v>K_L04</v>
      </c>
      <c r="D17" s="135">
        <f>'прил.1'!D17</f>
        <v>2022</v>
      </c>
      <c r="E17" s="135">
        <f>'прил.1'!E17</f>
        <v>2023</v>
      </c>
      <c r="F17" s="177">
        <f>'прил.1'!G17/1.2</f>
        <v>2.18</v>
      </c>
      <c r="G17" s="177">
        <f>SUM(H17:I17)</f>
        <v>2.2979840000000005</v>
      </c>
      <c r="H17" s="177">
        <f>'прил.1'!I17/1.2</f>
        <v>2.2979840000000005</v>
      </c>
      <c r="I17" s="182"/>
      <c r="J17" s="182"/>
      <c r="K17" s="177">
        <f>O17</f>
        <v>2.297984</v>
      </c>
      <c r="L17" s="183">
        <f>'прил.1'!K17-'прил.1'!Q17</f>
        <v>0</v>
      </c>
      <c r="M17" s="183">
        <f>'прил.1'!S17-'прил.1'!Y17</f>
        <v>1.4976</v>
      </c>
      <c r="N17" s="183">
        <f>'прил.1'!AA17-'прил.1'!AG17</f>
        <v>0.800384</v>
      </c>
      <c r="O17" s="185">
        <f>L17+M17+N17</f>
        <v>2.297984</v>
      </c>
      <c r="P17" s="40"/>
      <c r="Q17" s="176">
        <f t="shared" si="0"/>
        <v>0</v>
      </c>
      <c r="R17" s="40"/>
      <c r="T17" s="40"/>
      <c r="U17" s="108"/>
    </row>
    <row r="18" spans="1:21" ht="15.75">
      <c r="A18" s="69" t="str">
        <f>'прил.1'!A18</f>
        <v>1.5.</v>
      </c>
      <c r="B18" s="133" t="str">
        <f>'прил.1'!B18</f>
        <v>Реализация мероприятий по соответствию бренд-буку</v>
      </c>
      <c r="C18" s="134" t="str">
        <f>'прил.1'!C18</f>
        <v>L_КАЭС.01</v>
      </c>
      <c r="D18" s="135">
        <f>'прил.1'!D18</f>
        <v>2022</v>
      </c>
      <c r="E18" s="135">
        <f>'прил.1'!E18</f>
        <v>2023</v>
      </c>
      <c r="F18" s="177">
        <f>'прил.1'!G18/1.2</f>
        <v>2.9949950000000003</v>
      </c>
      <c r="G18" s="177">
        <f>SUM(H18:I18)</f>
        <v>2.9949950000000003</v>
      </c>
      <c r="H18" s="177">
        <f>'прил.1'!I18/1.2</f>
        <v>2.9949950000000003</v>
      </c>
      <c r="I18" s="182"/>
      <c r="J18" s="182"/>
      <c r="K18" s="177">
        <f>O18</f>
        <v>2.994995</v>
      </c>
      <c r="L18" s="183">
        <f>'прил.1'!K18-'прил.1'!Q18</f>
        <v>0</v>
      </c>
      <c r="M18" s="183">
        <f>'прил.1'!S18-'прил.1'!Y18</f>
        <v>2.100395</v>
      </c>
      <c r="N18" s="183">
        <f>'прил.1'!AA18-'прил.1'!AG18</f>
        <v>0.8946000000000001</v>
      </c>
      <c r="O18" s="185">
        <f>L18+M18+N18</f>
        <v>2.994995</v>
      </c>
      <c r="P18" s="40"/>
      <c r="Q18" s="176"/>
      <c r="R18" s="40"/>
      <c r="T18" s="40"/>
      <c r="U18" s="108"/>
    </row>
    <row r="19" spans="1:21" ht="15.75">
      <c r="A19" s="73" t="str">
        <f>'прил.1'!A19</f>
        <v>2.</v>
      </c>
      <c r="B19" s="143" t="s">
        <v>109</v>
      </c>
      <c r="C19" s="132"/>
      <c r="D19" s="41"/>
      <c r="E19" s="41"/>
      <c r="F19" s="182"/>
      <c r="G19" s="182"/>
      <c r="H19" s="182"/>
      <c r="I19" s="182"/>
      <c r="J19" s="182"/>
      <c r="K19" s="182"/>
      <c r="L19" s="182"/>
      <c r="M19" s="182"/>
      <c r="N19" s="183"/>
      <c r="O19" s="184"/>
      <c r="P19" s="40">
        <f aca="true" t="shared" si="1" ref="P19:P30">O19-G19</f>
        <v>0</v>
      </c>
      <c r="Q19" s="176">
        <f t="shared" si="0"/>
        <v>0</v>
      </c>
      <c r="T19" s="40"/>
      <c r="U19" s="108"/>
    </row>
    <row r="20" spans="1:21" ht="15.75">
      <c r="A20" s="69" t="str">
        <f>'прил.1'!A20</f>
        <v>2.1.</v>
      </c>
      <c r="B20" s="141" t="str">
        <f>'прил.1'!B20</f>
        <v>Коммутатор Cisco</v>
      </c>
      <c r="C20" s="142" t="str">
        <f>'прил.1'!C20</f>
        <v>K_L05</v>
      </c>
      <c r="D20" s="114">
        <f>'прил.1'!D20</f>
        <v>2022</v>
      </c>
      <c r="E20" s="114">
        <f>'прил.1'!E20</f>
        <v>2022</v>
      </c>
      <c r="F20" s="181">
        <f>'прил.1'!G20/1.2</f>
        <v>5.859041625000001</v>
      </c>
      <c r="G20" s="177">
        <f aca="true" t="shared" si="2" ref="G20:G25">SUM(H20:I20)</f>
        <v>5.859041625000001</v>
      </c>
      <c r="H20" s="177">
        <f>'прил.1'!I20/1.2</f>
        <v>5.859041625000001</v>
      </c>
      <c r="I20" s="182"/>
      <c r="J20" s="182"/>
      <c r="K20" s="177">
        <f aca="true" t="shared" si="3" ref="K20:K25">O20</f>
        <v>5.859041625</v>
      </c>
      <c r="L20" s="183">
        <f>'прил.1'!K20-'прил.1'!Q20</f>
        <v>0</v>
      </c>
      <c r="M20" s="183">
        <f>'прил.1'!S20-'прил.1'!Y20</f>
        <v>5.859041625</v>
      </c>
      <c r="N20" s="183">
        <f>'прил.1'!AA20-'прил.1'!AG20</f>
        <v>0</v>
      </c>
      <c r="O20" s="185">
        <f aca="true" t="shared" si="4" ref="O20:O26">L20+M20+N20</f>
        <v>5.859041625</v>
      </c>
      <c r="P20" s="40">
        <f t="shared" si="1"/>
        <v>0</v>
      </c>
      <c r="Q20" s="176">
        <f t="shared" si="0"/>
        <v>0</v>
      </c>
      <c r="T20" s="40"/>
      <c r="U20" s="108"/>
    </row>
    <row r="21" spans="1:21" ht="15.75">
      <c r="A21" s="69" t="str">
        <f>'прил.1'!A21</f>
        <v>2.2.</v>
      </c>
      <c r="B21" s="141" t="str">
        <f>'прил.1'!B21</f>
        <v>Приобретение оргтехники</v>
      </c>
      <c r="C21" s="142" t="str">
        <f>'прил.1'!C21</f>
        <v>K_L06</v>
      </c>
      <c r="D21" s="114">
        <f>'прил.1'!D21</f>
        <v>2023</v>
      </c>
      <c r="E21" s="114">
        <f>'прил.1'!E21</f>
        <v>2023</v>
      </c>
      <c r="F21" s="181">
        <f>'прил.1'!G21/1.2</f>
        <v>13.663123710312835</v>
      </c>
      <c r="G21" s="177">
        <f t="shared" si="2"/>
        <v>13.663123710312835</v>
      </c>
      <c r="H21" s="177">
        <f>'прил.1'!I21/1.2</f>
        <v>13.663123710312835</v>
      </c>
      <c r="I21" s="182"/>
      <c r="J21" s="182"/>
      <c r="K21" s="177">
        <f>O21</f>
        <v>13.663123710312833</v>
      </c>
      <c r="L21" s="183">
        <f>'прил.1'!K21-'прил.1'!Q21</f>
        <v>0</v>
      </c>
      <c r="M21" s="183">
        <f>'прил.1'!S21-'прил.1'!Y21</f>
        <v>0</v>
      </c>
      <c r="N21" s="183">
        <f>'прил.1'!AA21-'прил.1'!AG21</f>
        <v>13.663123710312833</v>
      </c>
      <c r="O21" s="185">
        <f t="shared" si="4"/>
        <v>13.663123710312833</v>
      </c>
      <c r="P21" s="40">
        <f t="shared" si="1"/>
        <v>0</v>
      </c>
      <c r="Q21" s="176">
        <f t="shared" si="0"/>
        <v>0</v>
      </c>
      <c r="T21" s="40"/>
      <c r="U21" s="108"/>
    </row>
    <row r="22" spans="1:21" ht="15.75">
      <c r="A22" s="69" t="str">
        <f>'прил.1'!A22</f>
        <v>2.3.</v>
      </c>
      <c r="B22" s="141" t="str">
        <f>'прил.1'!B22</f>
        <v>Система хранения данных (СХД) Lenovo Storage V3700 V2 SFF Control Enclosure (6535C2D)</v>
      </c>
      <c r="C22" s="142" t="str">
        <f>'прил.1'!C22</f>
        <v>K_L07</v>
      </c>
      <c r="D22" s="114">
        <f>'прил.1'!D22</f>
        <v>2022</v>
      </c>
      <c r="E22" s="114">
        <f>'прил.1'!E22</f>
        <v>2022</v>
      </c>
      <c r="F22" s="181">
        <f>'прил.1'!G22/1.2</f>
        <v>6.186124325</v>
      </c>
      <c r="G22" s="177">
        <f t="shared" si="2"/>
        <v>6.186124325</v>
      </c>
      <c r="H22" s="177">
        <f>'прил.1'!I22/1.2</f>
        <v>6.186124325</v>
      </c>
      <c r="I22" s="182"/>
      <c r="J22" s="182"/>
      <c r="K22" s="177">
        <f t="shared" si="3"/>
        <v>6.186124325</v>
      </c>
      <c r="L22" s="183">
        <f>'прил.1'!K22-'прил.1'!Q22</f>
        <v>0</v>
      </c>
      <c r="M22" s="183">
        <f>'прил.1'!S22-'прил.1'!Y22</f>
        <v>6.186124325</v>
      </c>
      <c r="N22" s="183">
        <f>'прил.1'!AA22-'прил.1'!AG22</f>
        <v>0</v>
      </c>
      <c r="O22" s="185">
        <f t="shared" si="4"/>
        <v>6.186124325</v>
      </c>
      <c r="P22" s="40">
        <f t="shared" si="1"/>
        <v>0</v>
      </c>
      <c r="Q22" s="176">
        <f t="shared" si="0"/>
        <v>0</v>
      </c>
      <c r="T22" s="40"/>
      <c r="U22" s="108"/>
    </row>
    <row r="23" spans="1:21" ht="15.75">
      <c r="A23" s="69" t="str">
        <f>'прил.1'!A23</f>
        <v>2.4.</v>
      </c>
      <c r="B23" s="141" t="str">
        <f>'прил.1'!B23</f>
        <v>ИБП APC SRC2KI Smart-UPS RC 2000VA 1600W</v>
      </c>
      <c r="C23" s="142" t="str">
        <f>'прил.1'!C23</f>
        <v>K_01</v>
      </c>
      <c r="D23" s="114">
        <f>'прил.1'!D23</f>
        <v>2022</v>
      </c>
      <c r="E23" s="114">
        <f>'прил.1'!E23</f>
        <v>2022</v>
      </c>
      <c r="F23" s="181">
        <f>'прил.1'!G23/1.2</f>
        <v>0.22722261233242536</v>
      </c>
      <c r="G23" s="177">
        <f t="shared" si="2"/>
        <v>0.22722261233242536</v>
      </c>
      <c r="H23" s="177">
        <f>'прил.1'!I23/1.2</f>
        <v>0.22722261233242536</v>
      </c>
      <c r="I23" s="182"/>
      <c r="J23" s="182"/>
      <c r="K23" s="177">
        <f t="shared" si="3"/>
        <v>0.22722261233242536</v>
      </c>
      <c r="L23" s="183">
        <f>'прил.1'!K23-'прил.1'!Q23</f>
        <v>0</v>
      </c>
      <c r="M23" s="183">
        <f>'прил.1'!S23-'прил.1'!Y23</f>
        <v>0.22722261233242536</v>
      </c>
      <c r="N23" s="183">
        <f>'прил.1'!AA23-'прил.1'!AG23</f>
        <v>0</v>
      </c>
      <c r="O23" s="185">
        <f t="shared" si="4"/>
        <v>0.22722261233242536</v>
      </c>
      <c r="P23" s="40">
        <f t="shared" si="1"/>
        <v>0</v>
      </c>
      <c r="Q23" s="176">
        <f t="shared" si="0"/>
        <v>0</v>
      </c>
      <c r="T23" s="40"/>
      <c r="U23" s="108"/>
    </row>
    <row r="24" spans="1:21" ht="15.75">
      <c r="A24" s="69" t="str">
        <f>'прил.1'!A24</f>
        <v>2.5.</v>
      </c>
      <c r="B24" s="141" t="str">
        <f>'прил.1'!B24</f>
        <v>Ленточная библиотека HPE STOREEVER MSL2024 LTO-7 15000 SAS (P9G69A</v>
      </c>
      <c r="C24" s="142" t="str">
        <f>'прил.1'!C24</f>
        <v>K_02</v>
      </c>
      <c r="D24" s="114">
        <f>'прил.1'!D24</f>
        <v>2022</v>
      </c>
      <c r="E24" s="114">
        <f>'прил.1'!E24</f>
        <v>2022</v>
      </c>
      <c r="F24" s="181">
        <f>'прил.1'!G24/1.2</f>
        <v>0.15850669304858245</v>
      </c>
      <c r="G24" s="177">
        <f t="shared" si="2"/>
        <v>0.15850669304858245</v>
      </c>
      <c r="H24" s="177">
        <f>'прил.1'!I24/1.2</f>
        <v>0.15850669304858245</v>
      </c>
      <c r="I24" s="182"/>
      <c r="J24" s="182"/>
      <c r="K24" s="177">
        <f t="shared" si="3"/>
        <v>0.15850669304858245</v>
      </c>
      <c r="L24" s="183">
        <f>'прил.1'!K24-'прил.1'!Q24</f>
        <v>0</v>
      </c>
      <c r="M24" s="183">
        <f>'прил.1'!S24-'прил.1'!Y24</f>
        <v>0.15850669304858245</v>
      </c>
      <c r="N24" s="183">
        <f>'прил.1'!AA24-'прил.1'!AG24</f>
        <v>0</v>
      </c>
      <c r="O24" s="185">
        <f t="shared" si="4"/>
        <v>0.15850669304858245</v>
      </c>
      <c r="P24" s="40">
        <f t="shared" si="1"/>
        <v>0</v>
      </c>
      <c r="Q24" s="176">
        <f t="shared" si="0"/>
        <v>0</v>
      </c>
      <c r="T24" s="40"/>
      <c r="U24" s="108"/>
    </row>
    <row r="25" spans="1:21" ht="31.5">
      <c r="A25" s="69" t="str">
        <f>'прил.1'!A25</f>
        <v>2.6.</v>
      </c>
      <c r="B25" s="141" t="str">
        <f>'прил.1'!B25</f>
        <v>Система хранения данных (СХД) HPE MSA 1050 8Gb Fibre Channel Dual Controller SFF Storage (Q2R19A)</v>
      </c>
      <c r="C25" s="142" t="str">
        <f>'прил.1'!C25</f>
        <v>K_03</v>
      </c>
      <c r="D25" s="114">
        <f>'прил.1'!D25</f>
        <v>2022</v>
      </c>
      <c r="E25" s="114">
        <f>'прил.1'!E25</f>
        <v>2022</v>
      </c>
      <c r="F25" s="181">
        <f>'прил.1'!G25/1.2</f>
        <v>1.1032332288644078</v>
      </c>
      <c r="G25" s="177">
        <f t="shared" si="2"/>
        <v>1.1032332288644078</v>
      </c>
      <c r="H25" s="177">
        <f>'прил.1'!I25/1.2</f>
        <v>1.1032332288644078</v>
      </c>
      <c r="I25" s="186"/>
      <c r="J25" s="186"/>
      <c r="K25" s="177">
        <f t="shared" si="3"/>
        <v>1.1032332288644078</v>
      </c>
      <c r="L25" s="181">
        <f>'прил.1'!K25-'прил.1'!Q25</f>
        <v>0</v>
      </c>
      <c r="M25" s="181">
        <f>'прил.1'!S25-'прил.1'!Y25</f>
        <v>1.1032332288644078</v>
      </c>
      <c r="N25" s="181">
        <f>'прил.1'!AA25-'прил.1'!AG25</f>
        <v>0</v>
      </c>
      <c r="O25" s="187">
        <f t="shared" si="4"/>
        <v>1.1032332288644078</v>
      </c>
      <c r="P25" s="40">
        <f t="shared" si="1"/>
        <v>0</v>
      </c>
      <c r="Q25" s="176">
        <f t="shared" si="0"/>
        <v>0</v>
      </c>
      <c r="T25" s="40"/>
      <c r="U25" s="108"/>
    </row>
    <row r="26" spans="1:21" ht="15.75">
      <c r="A26" s="69" t="str">
        <f>'прил.1'!A26</f>
        <v>2.7.</v>
      </c>
      <c r="B26" s="141" t="str">
        <f>'прил.1'!B26</f>
        <v>Моноблок 23.8" HP 24-df1008ur (2Y0P0EA)</v>
      </c>
      <c r="C26" s="142" t="str">
        <f>'прил.1'!C18</f>
        <v>L_КАЭС.01</v>
      </c>
      <c r="D26" s="114">
        <f>'прил.1'!D26</f>
        <v>2022</v>
      </c>
      <c r="E26" s="114">
        <f>'прил.1'!E26</f>
        <v>2023</v>
      </c>
      <c r="F26" s="181">
        <f>'прил.1'!G26/1.2</f>
        <v>12.9965</v>
      </c>
      <c r="G26" s="177">
        <f>SUM(H26:I26)</f>
        <v>12.9965</v>
      </c>
      <c r="H26" s="177">
        <f>'прил.1'!I26/1.2</f>
        <v>12.9965</v>
      </c>
      <c r="I26" s="186"/>
      <c r="J26" s="186"/>
      <c r="K26" s="177">
        <f>O26</f>
        <v>12.9965</v>
      </c>
      <c r="L26" s="181">
        <f>'прил.1'!K26-'прил.1'!Q26</f>
        <v>0</v>
      </c>
      <c r="M26" s="181">
        <f>'прил.1'!S26-'прил.1'!Y26</f>
        <v>6.49825</v>
      </c>
      <c r="N26" s="181">
        <f>'прил.1'!AA26-'прил.1'!AG26</f>
        <v>6.49825</v>
      </c>
      <c r="O26" s="187">
        <f t="shared" si="4"/>
        <v>12.9965</v>
      </c>
      <c r="P26" s="40"/>
      <c r="Q26" s="176">
        <f t="shared" si="0"/>
        <v>0</v>
      </c>
      <c r="T26" s="40"/>
      <c r="U26" s="108"/>
    </row>
    <row r="27" spans="1:21" ht="15.75">
      <c r="A27" s="68" t="str">
        <f>'прил.1'!A27</f>
        <v>3.</v>
      </c>
      <c r="B27" s="43" t="str">
        <f>'прил.1'!B27</f>
        <v>Оснащение интеллектуальной системой учета</v>
      </c>
      <c r="C27" s="148"/>
      <c r="D27" s="149"/>
      <c r="E27" s="149"/>
      <c r="F27" s="177"/>
      <c r="G27" s="177"/>
      <c r="H27" s="177"/>
      <c r="I27" s="182"/>
      <c r="J27" s="182"/>
      <c r="K27" s="177"/>
      <c r="L27" s="183"/>
      <c r="M27" s="183"/>
      <c r="N27" s="183"/>
      <c r="O27" s="185"/>
      <c r="P27" s="40">
        <f t="shared" si="1"/>
        <v>0</v>
      </c>
      <c r="Q27" s="176">
        <f t="shared" si="0"/>
        <v>0</v>
      </c>
      <c r="T27" s="40"/>
      <c r="U27" s="108"/>
    </row>
    <row r="28" spans="1:21" ht="15.75">
      <c r="A28" s="69" t="str">
        <f>'прил.1'!A28</f>
        <v>3.1.</v>
      </c>
      <c r="B28" s="141" t="str">
        <f>'прил.1'!B28</f>
        <v>Оборудование многоквартирных жилых домов интеллектуальной системой учета </v>
      </c>
      <c r="C28" s="36" t="str">
        <f>'прил.1'!C28</f>
        <v>K_L15</v>
      </c>
      <c r="D28" s="114">
        <f>'прил.1'!D28</f>
        <v>2021</v>
      </c>
      <c r="E28" s="114">
        <f>'прил.1'!E28</f>
        <v>2023</v>
      </c>
      <c r="F28" s="181">
        <f>'прил.1'!G28/1.2</f>
        <v>670.8324802166667</v>
      </c>
      <c r="G28" s="177">
        <f>SUM(H28:I28)</f>
        <v>696.8115434666668</v>
      </c>
      <c r="H28" s="177">
        <f>'прил.1'!I28/1.2</f>
        <v>696.8115434666668</v>
      </c>
      <c r="I28" s="182"/>
      <c r="J28" s="182"/>
      <c r="K28" s="177">
        <f>O28</f>
        <v>696.8115434666666</v>
      </c>
      <c r="L28" s="183">
        <f>'прил.1'!K28-'прил.1'!Q28</f>
        <v>232.33305964166664</v>
      </c>
      <c r="M28" s="183">
        <f>'прил.1'!S28-'прил.1'!Y28</f>
        <v>232.260640425</v>
      </c>
      <c r="N28" s="183">
        <f>'прил.1'!AA28-'прил.1'!AG28</f>
        <v>232.2178434</v>
      </c>
      <c r="O28" s="185">
        <f>L28+M28+N28</f>
        <v>696.8115434666666</v>
      </c>
      <c r="P28" s="40">
        <f t="shared" si="1"/>
        <v>0</v>
      </c>
      <c r="Q28" s="176">
        <f t="shared" si="0"/>
        <v>0</v>
      </c>
      <c r="T28" s="40"/>
      <c r="U28" s="108"/>
    </row>
    <row r="29" spans="1:21" ht="15.75">
      <c r="A29" s="73" t="str">
        <f>'прил.1'!A29</f>
        <v>4.</v>
      </c>
      <c r="B29" s="143" t="str">
        <f>'прил.1'!B29</f>
        <v>Иные проекты</v>
      </c>
      <c r="C29" s="36"/>
      <c r="D29" s="114"/>
      <c r="E29" s="114"/>
      <c r="F29" s="188"/>
      <c r="G29" s="188"/>
      <c r="H29" s="188"/>
      <c r="I29" s="182"/>
      <c r="J29" s="182"/>
      <c r="K29" s="177"/>
      <c r="L29" s="183"/>
      <c r="M29" s="183"/>
      <c r="N29" s="183"/>
      <c r="O29" s="185"/>
      <c r="P29" s="40">
        <f t="shared" si="1"/>
        <v>0</v>
      </c>
      <c r="Q29" s="176">
        <f t="shared" si="0"/>
        <v>0</v>
      </c>
      <c r="T29" s="40"/>
      <c r="U29" s="108"/>
    </row>
    <row r="30" spans="1:21" ht="15.75">
      <c r="A30" s="69" t="str">
        <f>'прил.1'!A30</f>
        <v>4.1.</v>
      </c>
      <c r="B30" s="38" t="str">
        <f>'прил.1'!B30</f>
        <v>Модернизация ЕКЦ (Робот-оператор)</v>
      </c>
      <c r="C30" s="36" t="str">
        <f>'прил.1'!C30</f>
        <v>L_КАЭС.03</v>
      </c>
      <c r="D30" s="114">
        <f>'прил.1'!D30</f>
        <v>2022</v>
      </c>
      <c r="E30" s="114">
        <f>'прил.1'!E30</f>
        <v>2022</v>
      </c>
      <c r="F30" s="188">
        <f>'прил.1'!G30/1.2</f>
        <v>22.756666666666668</v>
      </c>
      <c r="G30" s="188">
        <f>SUM(H30:I30)</f>
        <v>22.756666666666668</v>
      </c>
      <c r="H30" s="177">
        <f>'прил.1'!I30/1.2</f>
        <v>22.756666666666668</v>
      </c>
      <c r="I30" s="181"/>
      <c r="J30" s="182"/>
      <c r="K30" s="177">
        <f>O30</f>
        <v>22.756666666666668</v>
      </c>
      <c r="L30" s="183">
        <f>'прил.1'!K30-'прил.1'!Q30</f>
        <v>0</v>
      </c>
      <c r="M30" s="183">
        <f>'прил.1'!S30-'прил.1'!Y30</f>
        <v>22.756666666666668</v>
      </c>
      <c r="N30" s="183">
        <f>'прил.1'!AA30-'прил.1'!AG30</f>
        <v>0</v>
      </c>
      <c r="O30" s="185">
        <f>L30+M30+N30</f>
        <v>22.756666666666668</v>
      </c>
      <c r="P30" s="40">
        <f t="shared" si="1"/>
        <v>0</v>
      </c>
      <c r="Q30" s="176">
        <f t="shared" si="0"/>
        <v>0</v>
      </c>
      <c r="T30" s="40"/>
      <c r="U30" s="108"/>
    </row>
    <row r="31" spans="1:19" s="35" customFormat="1" ht="17.25" thickBot="1">
      <c r="A31" s="71"/>
      <c r="B31" s="159" t="s">
        <v>144</v>
      </c>
      <c r="C31" s="160"/>
      <c r="D31" s="161"/>
      <c r="E31" s="161"/>
      <c r="F31" s="189">
        <f aca="true" t="shared" si="5" ref="F31:O31">SUM(F13:F30)</f>
        <v>740.3828940778916</v>
      </c>
      <c r="G31" s="189">
        <f t="shared" si="5"/>
        <v>766.5781253278917</v>
      </c>
      <c r="H31" s="189">
        <f t="shared" si="5"/>
        <v>766.5781253278917</v>
      </c>
      <c r="I31" s="189">
        <f t="shared" si="5"/>
        <v>0</v>
      </c>
      <c r="J31" s="189">
        <f t="shared" si="5"/>
        <v>0</v>
      </c>
      <c r="K31" s="189">
        <f t="shared" si="5"/>
        <v>766.5781253278916</v>
      </c>
      <c r="L31" s="189">
        <f t="shared" si="5"/>
        <v>232.33305964166664</v>
      </c>
      <c r="M31" s="189">
        <f t="shared" si="5"/>
        <v>279.10008057591205</v>
      </c>
      <c r="N31" s="189">
        <f t="shared" si="5"/>
        <v>255.14498511031283</v>
      </c>
      <c r="O31" s="190">
        <f t="shared" si="5"/>
        <v>766.5781253278916</v>
      </c>
      <c r="P31" s="40">
        <f>O31-G31</f>
        <v>0</v>
      </c>
      <c r="Q31" s="176">
        <f t="shared" si="0"/>
        <v>0</v>
      </c>
      <c r="S31" s="1"/>
    </row>
    <row r="32" spans="1:15" ht="24" customHeight="1">
      <c r="A32" s="115"/>
      <c r="B32" s="116"/>
      <c r="C32" s="18"/>
      <c r="D32" s="18"/>
      <c r="E32" s="18"/>
      <c r="F32" s="61"/>
      <c r="G32" s="61"/>
      <c r="H32" s="61"/>
      <c r="I32" s="45"/>
      <c r="J32" s="45"/>
      <c r="K32" s="45"/>
      <c r="L32" s="45"/>
      <c r="M32" s="45"/>
      <c r="N32" s="45"/>
      <c r="O32" s="45"/>
    </row>
    <row r="33" spans="1:29" ht="20.2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</row>
    <row r="34" spans="1:15" ht="15.75">
      <c r="A34" s="115"/>
      <c r="B34" s="116"/>
      <c r="C34" s="18"/>
      <c r="D34" s="18"/>
      <c r="E34" s="18"/>
      <c r="F34" s="18"/>
      <c r="G34" s="18"/>
      <c r="H34" s="18"/>
      <c r="I34" s="18"/>
      <c r="J34" s="18"/>
      <c r="K34" s="18"/>
      <c r="L34" s="65"/>
      <c r="M34" s="65"/>
      <c r="N34" s="65"/>
      <c r="O34" s="18"/>
    </row>
    <row r="35" spans="1:15" ht="15.75">
      <c r="A35" s="115"/>
      <c r="B35" s="116"/>
      <c r="C35" s="18"/>
      <c r="D35" s="18"/>
      <c r="E35" s="18"/>
      <c r="F35" s="175">
        <f>F31-F30-F28-F26-F25-F24-F23-F22-F21-F20-F17-F16-F15-F14-F18</f>
        <v>0</v>
      </c>
      <c r="G35" s="175">
        <f>G31-G30-G28-G26-G25-G24-G23-G22-G21-G20-G17-G16-G15-G14-G18</f>
        <v>3.730349362740526E-14</v>
      </c>
      <c r="H35" s="175">
        <f aca="true" t="shared" si="6" ref="H35:O35">H31-H30-H28-H26-H25-H24-H23-H22-H21-H20-H17-H16-H15-H14-H18</f>
        <v>3.730349362740526E-14</v>
      </c>
      <c r="I35" s="175">
        <f t="shared" si="6"/>
        <v>0</v>
      </c>
      <c r="J35" s="175">
        <f t="shared" si="6"/>
        <v>0</v>
      </c>
      <c r="K35" s="175">
        <f t="shared" si="6"/>
        <v>4.1300296516055823E-14</v>
      </c>
      <c r="L35" s="175">
        <f t="shared" si="6"/>
        <v>0</v>
      </c>
      <c r="M35" s="175">
        <f t="shared" si="6"/>
        <v>-2.1316282072803006E-14</v>
      </c>
      <c r="N35" s="175">
        <f t="shared" si="6"/>
        <v>6.661338147750939E-15</v>
      </c>
      <c r="O35" s="175">
        <f t="shared" si="6"/>
        <v>4.1300296516055823E-14</v>
      </c>
    </row>
    <row r="36" spans="1:15" ht="15.75">
      <c r="A36" s="115"/>
      <c r="B36" s="116"/>
      <c r="C36" s="18"/>
      <c r="D36" s="18"/>
      <c r="E36" s="18"/>
      <c r="F36" s="109"/>
      <c r="G36" s="109"/>
      <c r="H36" s="18"/>
      <c r="I36" s="18"/>
      <c r="J36" s="18"/>
      <c r="K36" s="18"/>
      <c r="L36" s="117"/>
      <c r="M36" s="112"/>
      <c r="N36" s="112"/>
      <c r="O36" s="65"/>
    </row>
    <row r="37" spans="1:15" ht="15.75">
      <c r="A37" s="115"/>
      <c r="B37" s="116"/>
      <c r="C37" s="18"/>
      <c r="D37" s="18"/>
      <c r="E37" s="18"/>
      <c r="F37" s="18"/>
      <c r="G37" s="18"/>
      <c r="H37" s="18"/>
      <c r="I37" s="18"/>
      <c r="J37" s="18"/>
      <c r="K37" s="18"/>
      <c r="L37" s="204"/>
      <c r="M37" s="18"/>
      <c r="N37" s="18"/>
      <c r="O37" s="18"/>
    </row>
    <row r="38" spans="1:15" ht="15.75">
      <c r="A38" s="115"/>
      <c r="B38" s="11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5.75">
      <c r="A39" s="115"/>
      <c r="B39" s="11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.75">
      <c r="A40" s="115"/>
      <c r="B40" s="11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.75">
      <c r="A41" s="115"/>
      <c r="B41" s="1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.75">
      <c r="A42" s="115"/>
      <c r="B42" s="116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.75">
      <c r="A43" s="115"/>
      <c r="B43" s="1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.75">
      <c r="A44" s="115"/>
      <c r="B44" s="1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.75">
      <c r="A45" s="115"/>
      <c r="B45" s="11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>
      <c r="A46" s="115"/>
      <c r="B46" s="11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.75">
      <c r="A47" s="115"/>
      <c r="B47" s="11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.75">
      <c r="A48" s="115"/>
      <c r="B48" s="11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.75">
      <c r="A49" s="115"/>
      <c r="B49" s="1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.75">
      <c r="A50" s="115"/>
      <c r="B50" s="1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>
      <c r="A51" s="115"/>
      <c r="B51" s="11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.75">
      <c r="A52" s="115"/>
      <c r="B52" s="11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.75">
      <c r="A53" s="115"/>
      <c r="B53" s="116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.75">
      <c r="A54" s="115"/>
      <c r="B54" s="11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>
      <c r="A55" s="115"/>
      <c r="B55" s="11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.75">
      <c r="A56" s="115"/>
      <c r="B56" s="1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.75">
      <c r="A57" s="115"/>
      <c r="B57" s="11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.75">
      <c r="A58" s="115"/>
      <c r="B58" s="11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.75">
      <c r="A59" s="115"/>
      <c r="B59" s="11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.75">
      <c r="A60" s="115"/>
      <c r="B60" s="11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.75">
      <c r="A61" s="115"/>
      <c r="B61" s="11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.75">
      <c r="A62" s="115"/>
      <c r="B62" s="11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.75">
      <c r="A63" s="115"/>
      <c r="B63" s="11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.75">
      <c r="A64" s="115"/>
      <c r="B64" s="11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.75">
      <c r="A65" s="115"/>
      <c r="B65" s="11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.75">
      <c r="A66" s="115"/>
      <c r="B66" s="11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.75">
      <c r="A67" s="115"/>
      <c r="B67" s="11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.75">
      <c r="A68" s="115"/>
      <c r="B68" s="11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.75">
      <c r="A69" s="115"/>
      <c r="B69" s="11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.75">
      <c r="A70" s="115"/>
      <c r="B70" s="11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.75">
      <c r="A71" s="115"/>
      <c r="B71" s="11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.75">
      <c r="A72" s="115"/>
      <c r="B72" s="116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.75">
      <c r="A73" s="115"/>
      <c r="B73" s="116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.75">
      <c r="A74" s="115"/>
      <c r="B74" s="116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.75">
      <c r="A75" s="115"/>
      <c r="B75" s="116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.75">
      <c r="A76" s="115"/>
      <c r="B76" s="11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.75">
      <c r="A77" s="115"/>
      <c r="B77" s="116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.75">
      <c r="A78" s="115"/>
      <c r="B78" s="11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.75">
      <c r="A79" s="115"/>
      <c r="B79" s="116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.75">
      <c r="A80" s="115"/>
      <c r="B80" s="11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2" spans="1:15" ht="17.25" customHeight="1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</row>
  </sheetData>
  <sheetProtection/>
  <mergeCells count="19">
    <mergeCell ref="A82:O82"/>
    <mergeCell ref="F9:F10"/>
    <mergeCell ref="G9:I9"/>
    <mergeCell ref="J9:K9"/>
    <mergeCell ref="L9:O9"/>
    <mergeCell ref="G10:I10"/>
    <mergeCell ref="B9:B11"/>
    <mergeCell ref="C9:C11"/>
    <mergeCell ref="D9:D11"/>
    <mergeCell ref="E9:E10"/>
    <mergeCell ref="A33:AC33"/>
    <mergeCell ref="A3:O3"/>
    <mergeCell ref="A4:O4"/>
    <mergeCell ref="A6:O6"/>
    <mergeCell ref="A7:O7"/>
    <mergeCell ref="A8:O8"/>
    <mergeCell ref="A9:A11"/>
    <mergeCell ref="J10:K10"/>
    <mergeCell ref="O10:O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4:H18 F27:H27 H28 H30 H20:H26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C34"/>
  <sheetViews>
    <sheetView tabSelected="1" view="pageBreakPreview" zoomScale="80" zoomScaleNormal="62" zoomScaleSheetLayoutView="80" workbookViewId="0" topLeftCell="A7">
      <selection activeCell="U30" sqref="U30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15.875" style="1" customWidth="1"/>
    <col min="4" max="4" width="14.25390625" style="1" customWidth="1"/>
    <col min="5" max="5" width="17.625" style="1" customWidth="1"/>
    <col min="6" max="6" width="10.00390625" style="1" customWidth="1"/>
    <col min="7" max="7" width="7.75390625" style="1" customWidth="1"/>
    <col min="8" max="8" width="10.00390625" style="1" customWidth="1" outlineLevel="1"/>
    <col min="9" max="9" width="7.75390625" style="1" customWidth="1" outlineLevel="1"/>
    <col min="10" max="10" width="10.00390625" style="1" customWidth="1" outlineLevel="1"/>
    <col min="11" max="11" width="7.75390625" style="1" customWidth="1" outlineLevel="1"/>
    <col min="12" max="12" width="10.00390625" style="1" customWidth="1" outlineLevel="1"/>
    <col min="13" max="13" width="7.75390625" style="1" customWidth="1" outlineLevel="1"/>
    <col min="14" max="14" width="10.00390625" style="1" customWidth="1" outlineLevel="1"/>
    <col min="15" max="15" width="7.75390625" style="1" customWidth="1" outlineLevel="1"/>
    <col min="16" max="16" width="9.625" style="1" customWidth="1"/>
    <col min="17" max="17" width="8.375" style="1" customWidth="1"/>
    <col min="18" max="18" width="9.25390625" style="1" customWidth="1"/>
    <col min="19" max="19" width="8.00390625" style="1" customWidth="1"/>
    <col min="20" max="20" width="10.125" style="1" customWidth="1"/>
    <col min="21" max="21" width="9.375" style="1" customWidth="1"/>
    <col min="22" max="22" width="5.75390625" style="1" hidden="1" customWidth="1"/>
    <col min="23" max="23" width="2.125" style="1" hidden="1" customWidth="1"/>
    <col min="24" max="31" width="5.75390625" style="1" customWidth="1"/>
    <col min="32" max="16384" width="9.125" style="1" customWidth="1"/>
  </cols>
  <sheetData>
    <row r="1" spans="1:21" ht="18.75">
      <c r="A1" s="15"/>
      <c r="B1" s="118"/>
      <c r="C1" s="118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 s="18"/>
      <c r="U1" s="48" t="s">
        <v>123</v>
      </c>
    </row>
    <row r="2" spans="1:2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U2" s="3"/>
    </row>
    <row r="3" spans="1:2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>
      <c r="A4" s="239" t="s">
        <v>22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120"/>
      <c r="U4" s="120"/>
    </row>
    <row r="5" spans="1:21" ht="15.75">
      <c r="A5" s="240" t="s">
        <v>68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2"/>
      <c r="U5" s="22"/>
    </row>
    <row r="6" spans="1:21" ht="15.75">
      <c r="A6" s="15"/>
      <c r="B6" s="121"/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7"/>
      <c r="U6" s="17"/>
    </row>
    <row r="7" spans="1:22" ht="18.75">
      <c r="A7" s="224" t="str">
        <f>'прил.1'!A6</f>
        <v>ОП "КурскАтомЭнергоСбыт" АО "АтомЭнергоСбыт" 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3"/>
      <c r="U7" s="23"/>
      <c r="V7" s="102"/>
    </row>
    <row r="8" spans="1:22" ht="15.75">
      <c r="A8" s="208" t="s">
        <v>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20"/>
      <c r="U8" s="120"/>
      <c r="V8" s="103"/>
    </row>
    <row r="9" spans="1:21" ht="16.5" thickBo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122"/>
      <c r="U9" s="122"/>
    </row>
    <row r="10" spans="1:21" ht="51.75" customHeight="1">
      <c r="A10" s="242" t="s">
        <v>3</v>
      </c>
      <c r="B10" s="232" t="s">
        <v>69</v>
      </c>
      <c r="C10" s="232" t="s">
        <v>70</v>
      </c>
      <c r="D10" s="217" t="s">
        <v>71</v>
      </c>
      <c r="E10" s="217"/>
      <c r="F10" s="234" t="s">
        <v>122</v>
      </c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6"/>
    </row>
    <row r="11" spans="1:21" ht="32.25" customHeight="1">
      <c r="A11" s="243"/>
      <c r="B11" s="229"/>
      <c r="C11" s="229"/>
      <c r="D11" s="218"/>
      <c r="E11" s="218"/>
      <c r="F11" s="230" t="s">
        <v>67</v>
      </c>
      <c r="G11" s="230"/>
      <c r="H11" s="229" t="s">
        <v>181</v>
      </c>
      <c r="I11" s="229"/>
      <c r="J11" s="229" t="s">
        <v>182</v>
      </c>
      <c r="K11" s="229"/>
      <c r="L11" s="229" t="s">
        <v>183</v>
      </c>
      <c r="M11" s="229"/>
      <c r="N11" s="229" t="s">
        <v>184</v>
      </c>
      <c r="O11" s="229"/>
      <c r="P11" s="230" t="s">
        <v>117</v>
      </c>
      <c r="Q11" s="230"/>
      <c r="R11" s="230" t="s">
        <v>180</v>
      </c>
      <c r="S11" s="230"/>
      <c r="T11" s="237" t="s">
        <v>72</v>
      </c>
      <c r="U11" s="238"/>
    </row>
    <row r="12" spans="1:21" ht="45" customHeight="1">
      <c r="A12" s="243"/>
      <c r="B12" s="230"/>
      <c r="C12" s="230"/>
      <c r="D12" s="230" t="s">
        <v>11</v>
      </c>
      <c r="E12" s="230"/>
      <c r="F12" s="229" t="s">
        <v>124</v>
      </c>
      <c r="G12" s="230"/>
      <c r="H12" s="229" t="s">
        <v>124</v>
      </c>
      <c r="I12" s="230"/>
      <c r="J12" s="229" t="s">
        <v>124</v>
      </c>
      <c r="K12" s="230"/>
      <c r="L12" s="229" t="s">
        <v>124</v>
      </c>
      <c r="M12" s="230"/>
      <c r="N12" s="229" t="s">
        <v>124</v>
      </c>
      <c r="O12" s="230"/>
      <c r="P12" s="229" t="s">
        <v>124</v>
      </c>
      <c r="Q12" s="230"/>
      <c r="R12" s="229" t="s">
        <v>124</v>
      </c>
      <c r="S12" s="230"/>
      <c r="T12" s="230" t="s">
        <v>11</v>
      </c>
      <c r="U12" s="231"/>
    </row>
    <row r="13" spans="1:21" ht="60.75" customHeight="1">
      <c r="A13" s="243"/>
      <c r="B13" s="244"/>
      <c r="C13" s="233"/>
      <c r="D13" s="7" t="s">
        <v>73</v>
      </c>
      <c r="E13" s="7" t="s">
        <v>74</v>
      </c>
      <c r="F13" s="7" t="s">
        <v>73</v>
      </c>
      <c r="G13" s="7" t="s">
        <v>74</v>
      </c>
      <c r="H13" s="7" t="s">
        <v>73</v>
      </c>
      <c r="I13" s="7" t="s">
        <v>74</v>
      </c>
      <c r="J13" s="7" t="s">
        <v>73</v>
      </c>
      <c r="K13" s="7" t="s">
        <v>74</v>
      </c>
      <c r="L13" s="7" t="s">
        <v>73</v>
      </c>
      <c r="M13" s="7" t="s">
        <v>74</v>
      </c>
      <c r="N13" s="7" t="s">
        <v>73</v>
      </c>
      <c r="O13" s="7" t="s">
        <v>74</v>
      </c>
      <c r="P13" s="7" t="s">
        <v>73</v>
      </c>
      <c r="Q13" s="7" t="s">
        <v>74</v>
      </c>
      <c r="R13" s="7" t="s">
        <v>73</v>
      </c>
      <c r="S13" s="7" t="s">
        <v>74</v>
      </c>
      <c r="T13" s="7" t="s">
        <v>73</v>
      </c>
      <c r="U13" s="75" t="s">
        <v>74</v>
      </c>
    </row>
    <row r="14" spans="1:21" ht="15.75">
      <c r="A14" s="66">
        <v>1</v>
      </c>
      <c r="B14" s="31">
        <v>2</v>
      </c>
      <c r="C14" s="31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32">
        <v>19</v>
      </c>
      <c r="T14" s="31">
        <v>20</v>
      </c>
      <c r="U14" s="107">
        <v>21</v>
      </c>
    </row>
    <row r="15" spans="1:23" ht="15.75">
      <c r="A15" s="73" t="str">
        <f>'прил.1'!A13</f>
        <v>1.</v>
      </c>
      <c r="B15" s="43" t="s">
        <v>108</v>
      </c>
      <c r="C15" s="36"/>
      <c r="D15" s="3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6"/>
      <c r="V15" s="1">
        <f>T15-R15-P15-F15</f>
        <v>0</v>
      </c>
      <c r="W15" s="1">
        <f>D15-T15</f>
        <v>0</v>
      </c>
    </row>
    <row r="16" spans="1:23" ht="15.75">
      <c r="A16" s="69" t="str">
        <f>'прил.1'!A14</f>
        <v>1.1.</v>
      </c>
      <c r="B16" s="38" t="str">
        <f>'прил.1'!B14</f>
        <v>Установка шлагбаумов: г.Курск, ул. Энгельса, д.134 </v>
      </c>
      <c r="C16" s="39" t="str">
        <f>'прил.1'!C14</f>
        <v>K_L01</v>
      </c>
      <c r="D16" s="47">
        <f>T16</f>
        <v>2</v>
      </c>
      <c r="E16" s="6"/>
      <c r="F16" s="6">
        <f>H16+J16+L16+N16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>
        <v>2</v>
      </c>
      <c r="Q16" s="6"/>
      <c r="R16" s="6"/>
      <c r="S16" s="6"/>
      <c r="T16" s="6">
        <f>R16+P16+F16</f>
        <v>2</v>
      </c>
      <c r="U16" s="76"/>
      <c r="V16" s="1">
        <f>T16-R16-P16-F16</f>
        <v>0</v>
      </c>
      <c r="W16" s="1">
        <f>D16-T16</f>
        <v>0</v>
      </c>
    </row>
    <row r="17" spans="1:21" ht="15.75">
      <c r="A17" s="69" t="str">
        <f>'прил.1'!A15</f>
        <v>1.2.</v>
      </c>
      <c r="B17" s="133" t="str">
        <f>'прил.1'!B15</f>
        <v>Модернизация системы контроля и управления доступом: г. Курск, ул. Энгельса, д. 134</v>
      </c>
      <c r="C17" s="140" t="str">
        <f>'прил.1'!C15</f>
        <v>K_L02</v>
      </c>
      <c r="D17" s="47">
        <f>T17</f>
        <v>1</v>
      </c>
      <c r="E17" s="6"/>
      <c r="F17" s="6">
        <f>H17+J17+L17+N17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>
        <v>1</v>
      </c>
      <c r="Q17" s="6"/>
      <c r="R17" s="6"/>
      <c r="S17" s="6"/>
      <c r="T17" s="6">
        <f>R17+P17+F17</f>
        <v>1</v>
      </c>
      <c r="U17" s="76"/>
    </row>
    <row r="18" spans="1:21" ht="15.75">
      <c r="A18" s="69" t="str">
        <f>'прил.1'!A16</f>
        <v>1.3.</v>
      </c>
      <c r="B18" s="133" t="str">
        <f>'прил.1'!B16</f>
        <v>Система видеонаблюдения: г. Курск, ул. Энгельса, д. 134</v>
      </c>
      <c r="C18" s="140" t="str">
        <f>'прил.1'!C16</f>
        <v>K_L03</v>
      </c>
      <c r="D18" s="47">
        <f>T18</f>
        <v>1</v>
      </c>
      <c r="E18" s="6"/>
      <c r="F18" s="6">
        <f>H18+J18+L18+N18</f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/>
      <c r="T18" s="6">
        <f>R18+P18+F18</f>
        <v>1</v>
      </c>
      <c r="U18" s="76"/>
    </row>
    <row r="19" spans="1:21" ht="15.75">
      <c r="A19" s="69" t="str">
        <f>'прил.1'!A17</f>
        <v>1.4.</v>
      </c>
      <c r="B19" s="133" t="str">
        <f>'прил.1'!B17</f>
        <v>Охранно-пожарная сигнализация в участке </v>
      </c>
      <c r="C19" s="140" t="str">
        <f>'прил.1'!C17</f>
        <v>K_L04</v>
      </c>
      <c r="D19" s="47">
        <f>T19</f>
        <v>12</v>
      </c>
      <c r="E19" s="6"/>
      <c r="F19" s="6">
        <f>H19+J19+L19+N19</f>
        <v>0</v>
      </c>
      <c r="G19" s="6"/>
      <c r="H19" s="6"/>
      <c r="I19" s="6"/>
      <c r="J19" s="6"/>
      <c r="K19" s="6"/>
      <c r="L19" s="6"/>
      <c r="M19" s="6"/>
      <c r="N19" s="6"/>
      <c r="O19" s="6"/>
      <c r="P19" s="6">
        <v>8</v>
      </c>
      <c r="Q19" s="6"/>
      <c r="R19" s="6">
        <v>4</v>
      </c>
      <c r="S19" s="6"/>
      <c r="T19" s="6">
        <f>R19+P19+F19</f>
        <v>12</v>
      </c>
      <c r="U19" s="76"/>
    </row>
    <row r="20" spans="1:21" ht="15.75">
      <c r="A20" s="69" t="str">
        <f>'прил.1'!A18</f>
        <v>1.5.</v>
      </c>
      <c r="B20" s="133" t="str">
        <f>'прил.1'!B18</f>
        <v>Реализация мероприятий по соответствию бренд-буку</v>
      </c>
      <c r="C20" s="140" t="str">
        <f>'прил.1'!C18</f>
        <v>L_КАЭС.01</v>
      </c>
      <c r="D20" s="47">
        <f>T20</f>
        <v>56</v>
      </c>
      <c r="E20" s="6"/>
      <c r="F20" s="6">
        <f>H20+J20+L20+N20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>
        <v>38</v>
      </c>
      <c r="Q20" s="6"/>
      <c r="R20" s="6">
        <v>18</v>
      </c>
      <c r="S20" s="6"/>
      <c r="T20" s="6">
        <f>R20+P20+F20</f>
        <v>56</v>
      </c>
      <c r="U20" s="76"/>
    </row>
    <row r="21" spans="1:21" ht="15.75">
      <c r="A21" s="73" t="str">
        <f>'прил.1'!A19</f>
        <v>2.</v>
      </c>
      <c r="B21" s="143" t="s">
        <v>109</v>
      </c>
      <c r="C21" s="132"/>
      <c r="D21" s="4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76"/>
    </row>
    <row r="22" spans="1:23" ht="15" customHeight="1">
      <c r="A22" s="69" t="str">
        <f>'прил.1'!A20</f>
        <v>2.1.</v>
      </c>
      <c r="B22" s="38" t="str">
        <f>'прил.1'!B20</f>
        <v>Коммутатор Cisco</v>
      </c>
      <c r="C22" s="39" t="str">
        <f>'прил.1'!C20</f>
        <v>K_L05</v>
      </c>
      <c r="D22" s="47">
        <f aca="true" t="shared" si="0" ref="D22:D28">T22</f>
        <v>123</v>
      </c>
      <c r="E22" s="6"/>
      <c r="F22" s="6">
        <f>H22+J22+L22+N22</f>
        <v>0</v>
      </c>
      <c r="G22" s="6"/>
      <c r="H22" s="6"/>
      <c r="I22" s="6"/>
      <c r="J22" s="6"/>
      <c r="K22" s="6"/>
      <c r="L22" s="6"/>
      <c r="M22" s="6"/>
      <c r="N22" s="6"/>
      <c r="O22" s="6"/>
      <c r="P22" s="6">
        <v>123</v>
      </c>
      <c r="Q22" s="6"/>
      <c r="R22" s="6">
        <v>0</v>
      </c>
      <c r="S22" s="6"/>
      <c r="T22" s="47">
        <f aca="true" t="shared" si="1" ref="T22:T28">R22+P22+F22</f>
        <v>123</v>
      </c>
      <c r="U22" s="76"/>
      <c r="V22" s="1">
        <f>T22-R22-P22-F22</f>
        <v>0</v>
      </c>
      <c r="W22" s="1">
        <f>D22-T22</f>
        <v>0</v>
      </c>
    </row>
    <row r="23" spans="1:23" ht="15.75">
      <c r="A23" s="69" t="str">
        <f>'прил.1'!A21</f>
        <v>2.2.</v>
      </c>
      <c r="B23" s="38" t="str">
        <f>'прил.1'!B21</f>
        <v>Приобретение оргтехники</v>
      </c>
      <c r="C23" s="39" t="str">
        <f>'прил.1'!C21</f>
        <v>K_L06</v>
      </c>
      <c r="D23" s="47">
        <f>T23</f>
        <v>202</v>
      </c>
      <c r="E23" s="6"/>
      <c r="F23" s="6">
        <f>H23+J23+L23+N23</f>
        <v>0</v>
      </c>
      <c r="G23" s="6"/>
      <c r="H23" s="6"/>
      <c r="I23" s="6"/>
      <c r="J23" s="6"/>
      <c r="K23" s="6"/>
      <c r="L23" s="6"/>
      <c r="M23" s="6"/>
      <c r="N23" s="6"/>
      <c r="O23" s="6"/>
      <c r="P23" s="6">
        <v>0</v>
      </c>
      <c r="Q23" s="6"/>
      <c r="R23" s="6">
        <v>202</v>
      </c>
      <c r="S23" s="6"/>
      <c r="T23" s="47">
        <f t="shared" si="1"/>
        <v>202</v>
      </c>
      <c r="U23" s="76"/>
      <c r="V23" s="1">
        <f aca="true" t="shared" si="2" ref="V23:V30">T23-R23-P23-F23</f>
        <v>0</v>
      </c>
      <c r="W23" s="1">
        <f aca="true" t="shared" si="3" ref="W23:W30">D23-T23</f>
        <v>0</v>
      </c>
    </row>
    <row r="24" spans="1:23" ht="15.75">
      <c r="A24" s="69" t="str">
        <f>'прил.1'!A22</f>
        <v>2.3.</v>
      </c>
      <c r="B24" s="38" t="str">
        <f>'прил.1'!B22</f>
        <v>Система хранения данных (СХД) Lenovo Storage V3700 V2 SFF Control Enclosure (6535C2D)</v>
      </c>
      <c r="C24" s="39" t="str">
        <f>'прил.1'!C22</f>
        <v>K_L07</v>
      </c>
      <c r="D24" s="47">
        <f t="shared" si="0"/>
        <v>2</v>
      </c>
      <c r="E24" s="6"/>
      <c r="F24" s="6">
        <f>H24+J24+L24+N24</f>
        <v>0</v>
      </c>
      <c r="G24" s="6"/>
      <c r="H24" s="6"/>
      <c r="I24" s="6"/>
      <c r="J24" s="6"/>
      <c r="K24" s="6"/>
      <c r="L24" s="6"/>
      <c r="M24" s="6"/>
      <c r="N24" s="6"/>
      <c r="O24" s="6"/>
      <c r="P24" s="6">
        <v>2</v>
      </c>
      <c r="Q24" s="6"/>
      <c r="R24" s="6"/>
      <c r="S24" s="6"/>
      <c r="T24" s="47">
        <f t="shared" si="1"/>
        <v>2</v>
      </c>
      <c r="U24" s="76"/>
      <c r="V24" s="1">
        <f t="shared" si="2"/>
        <v>0</v>
      </c>
      <c r="W24" s="1">
        <f t="shared" si="3"/>
        <v>0</v>
      </c>
    </row>
    <row r="25" spans="1:23" ht="15.75">
      <c r="A25" s="69" t="str">
        <f>'прил.1'!A23</f>
        <v>2.4.</v>
      </c>
      <c r="B25" s="38" t="str">
        <f>'прил.1'!B23</f>
        <v>ИБП APC SRC2KI Smart-UPS RC 2000VA 1600W</v>
      </c>
      <c r="C25" s="39" t="str">
        <f>'прил.1'!C23</f>
        <v>K_01</v>
      </c>
      <c r="D25" s="47">
        <f t="shared" si="0"/>
        <v>16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16</v>
      </c>
      <c r="Q25" s="6"/>
      <c r="R25" s="6"/>
      <c r="S25" s="6"/>
      <c r="T25" s="6">
        <f t="shared" si="1"/>
        <v>16</v>
      </c>
      <c r="U25" s="76"/>
      <c r="V25" s="1">
        <f t="shared" si="2"/>
        <v>0</v>
      </c>
      <c r="W25" s="1">
        <f t="shared" si="3"/>
        <v>0</v>
      </c>
    </row>
    <row r="26" spans="1:23" ht="15.75">
      <c r="A26" s="69" t="str">
        <f>'прил.1'!A24</f>
        <v>2.5.</v>
      </c>
      <c r="B26" s="38" t="str">
        <f>'прил.1'!B24</f>
        <v>Ленточная библиотека HPE STOREEVER MSL2024 LTO-7 15000 SAS (P9G69A</v>
      </c>
      <c r="C26" s="39" t="str">
        <f>'прил.1'!C24</f>
        <v>K_02</v>
      </c>
      <c r="D26" s="47">
        <f t="shared" si="0"/>
        <v>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1</v>
      </c>
      <c r="Q26" s="6"/>
      <c r="R26" s="6"/>
      <c r="S26" s="6"/>
      <c r="T26" s="6">
        <f t="shared" si="1"/>
        <v>1</v>
      </c>
      <c r="U26" s="76"/>
      <c r="V26" s="1">
        <f t="shared" si="2"/>
        <v>0</v>
      </c>
      <c r="W26" s="1">
        <f t="shared" si="3"/>
        <v>0</v>
      </c>
    </row>
    <row r="27" spans="1:23" ht="31.5">
      <c r="A27" s="158" t="str">
        <f>'прил.1'!A25</f>
        <v>2.6.</v>
      </c>
      <c r="B27" s="162" t="str">
        <f>'прил.1'!B25</f>
        <v>Система хранения данных (СХД) HPE MSA 1050 8Gb Fibre Channel Dual Controller SFF Storage (Q2R19A)</v>
      </c>
      <c r="C27" s="163" t="str">
        <f>'прил.1'!C25</f>
        <v>K_03</v>
      </c>
      <c r="D27" s="191">
        <f t="shared" si="0"/>
        <v>108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108</v>
      </c>
      <c r="Q27" s="6"/>
      <c r="R27" s="6"/>
      <c r="S27" s="6"/>
      <c r="T27" s="6">
        <f t="shared" si="1"/>
        <v>108</v>
      </c>
      <c r="U27" s="76"/>
      <c r="V27" s="1">
        <f t="shared" si="2"/>
        <v>0</v>
      </c>
      <c r="W27" s="1">
        <f t="shared" si="3"/>
        <v>0</v>
      </c>
    </row>
    <row r="28" spans="1:23" ht="15.75">
      <c r="A28" s="158" t="str">
        <f>'прил.1'!A26</f>
        <v>2.7.</v>
      </c>
      <c r="B28" s="162" t="str">
        <f>'прил.1'!B26</f>
        <v>Моноблок 23.8" HP 24-df1008ur (2Y0P0EA)</v>
      </c>
      <c r="C28" s="163" t="str">
        <f>'прил.1'!C18</f>
        <v>L_КАЭС.01</v>
      </c>
      <c r="D28" s="191">
        <f t="shared" si="0"/>
        <v>220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110</v>
      </c>
      <c r="Q28" s="6"/>
      <c r="R28" s="6">
        <v>110</v>
      </c>
      <c r="S28" s="6"/>
      <c r="T28" s="6">
        <f t="shared" si="1"/>
        <v>220</v>
      </c>
      <c r="U28" s="76"/>
      <c r="V28" s="1">
        <f t="shared" si="2"/>
        <v>0</v>
      </c>
      <c r="W28" s="1">
        <f t="shared" si="3"/>
        <v>0</v>
      </c>
    </row>
    <row r="29" spans="1:23" ht="15.75">
      <c r="A29" s="68" t="str">
        <f>'прил.1'!A27</f>
        <v>3.</v>
      </c>
      <c r="B29" s="43" t="str">
        <f>'прил.1'!B27</f>
        <v>Оснащение интеллектуальной системой учета</v>
      </c>
      <c r="C29" s="148"/>
      <c r="D29" s="47"/>
      <c r="E29" s="6"/>
      <c r="F29" s="4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6"/>
      <c r="V29" s="1">
        <f t="shared" si="2"/>
        <v>0</v>
      </c>
      <c r="W29" s="1">
        <f t="shared" si="3"/>
        <v>0</v>
      </c>
    </row>
    <row r="30" spans="1:23" ht="15.75">
      <c r="A30" s="69" t="str">
        <f>'прил.1'!A28</f>
        <v>3.1.</v>
      </c>
      <c r="B30" s="38" t="str">
        <f>'прил.1'!B28</f>
        <v>Оборудование многоквартирных жилых домов интеллектуальной системой учета </v>
      </c>
      <c r="C30" s="39" t="str">
        <f>'прил.1'!C28</f>
        <v>K_L15</v>
      </c>
      <c r="D30" s="47">
        <f>T30</f>
        <v>166512</v>
      </c>
      <c r="E30" s="47">
        <f>U30</f>
        <v>51998</v>
      </c>
      <c r="F30" s="47">
        <f>H30+J30+L30+N30</f>
        <v>55210</v>
      </c>
      <c r="G30" s="6">
        <f>I30+K30+M30+O30</f>
        <v>1</v>
      </c>
      <c r="H30" s="47"/>
      <c r="I30" s="47"/>
      <c r="J30" s="47"/>
      <c r="K30" s="47"/>
      <c r="L30" s="47"/>
      <c r="M30" s="47"/>
      <c r="N30" s="47">
        <v>55210</v>
      </c>
      <c r="O30" s="47">
        <v>1</v>
      </c>
      <c r="P30" s="47">
        <v>55600</v>
      </c>
      <c r="Q30" s="47">
        <v>26001</v>
      </c>
      <c r="R30" s="47">
        <v>55702</v>
      </c>
      <c r="S30" s="47">
        <v>25996</v>
      </c>
      <c r="T30" s="47">
        <f>R30+P30+F30</f>
        <v>166512</v>
      </c>
      <c r="U30" s="272">
        <f>S30+Q30+G30</f>
        <v>51998</v>
      </c>
      <c r="V30" s="1">
        <f t="shared" si="2"/>
        <v>0</v>
      </c>
      <c r="W30" s="1">
        <f t="shared" si="3"/>
        <v>0</v>
      </c>
    </row>
    <row r="31" spans="1:21" ht="15.75">
      <c r="A31" s="73" t="str">
        <f>'прил.1'!A29</f>
        <v>4.</v>
      </c>
      <c r="B31" s="43" t="s">
        <v>90</v>
      </c>
      <c r="C31" s="3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76"/>
    </row>
    <row r="32" spans="1:21" ht="15.75">
      <c r="A32" s="69" t="str">
        <f>'прил.1'!A30</f>
        <v>4.1.</v>
      </c>
      <c r="B32" s="38" t="str">
        <f>'прил.1'!B30</f>
        <v>Модернизация ЕКЦ (Робот-оператор)</v>
      </c>
      <c r="C32" s="39" t="str">
        <f>'прил.1'!C30</f>
        <v>L_КАЭС.03</v>
      </c>
      <c r="D32" s="47">
        <f>T32</f>
        <v>1</v>
      </c>
      <c r="E32" s="6"/>
      <c r="F32" s="6">
        <f>H32+J32+L32+N32</f>
        <v>0</v>
      </c>
      <c r="G32" s="6"/>
      <c r="H32" s="6"/>
      <c r="I32" s="6"/>
      <c r="J32" s="6"/>
      <c r="K32" s="6"/>
      <c r="L32" s="6"/>
      <c r="M32" s="6"/>
      <c r="N32" s="6"/>
      <c r="O32" s="6"/>
      <c r="P32" s="6">
        <v>1</v>
      </c>
      <c r="Q32" s="6"/>
      <c r="R32" s="6"/>
      <c r="S32" s="6"/>
      <c r="T32" s="6">
        <f>R32+P32+F32</f>
        <v>1</v>
      </c>
      <c r="U32" s="76"/>
    </row>
    <row r="33" ht="16.5" customHeight="1"/>
    <row r="34" spans="1:29" ht="20.2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</row>
  </sheetData>
  <sheetProtection/>
  <mergeCells count="28">
    <mergeCell ref="A4:S4"/>
    <mergeCell ref="A5:S5"/>
    <mergeCell ref="A7:S7"/>
    <mergeCell ref="A8:S8"/>
    <mergeCell ref="A9:S9"/>
    <mergeCell ref="R12:S12"/>
    <mergeCell ref="N11:O11"/>
    <mergeCell ref="R11:S11"/>
    <mergeCell ref="A10:A13"/>
    <mergeCell ref="B10:B13"/>
    <mergeCell ref="C10:C13"/>
    <mergeCell ref="D10:E11"/>
    <mergeCell ref="F10:U10"/>
    <mergeCell ref="T11:U11"/>
    <mergeCell ref="F11:G11"/>
    <mergeCell ref="P12:Q12"/>
    <mergeCell ref="D12:E12"/>
    <mergeCell ref="F12:G12"/>
    <mergeCell ref="A34:AC34"/>
    <mergeCell ref="N12:O12"/>
    <mergeCell ref="L11:M11"/>
    <mergeCell ref="L12:M12"/>
    <mergeCell ref="J11:K11"/>
    <mergeCell ref="J12:K12"/>
    <mergeCell ref="H11:I11"/>
    <mergeCell ref="H12:I12"/>
    <mergeCell ref="T12:U12"/>
    <mergeCell ref="P11:Q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15:P20 F15:F20 N15:N20 L15:L20 J15:J20 H15:H20 N30:O30 R15:R20 N31:N32 P22:P27 P29:P32 G30 L22:L32 R22:R32 J22:J32 H22:H32 F22:F32 N22:N29">
      <formula1>900</formula1>
    </dataValidation>
  </dataValidation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70" zoomScaleNormal="62" zoomScaleSheetLayoutView="70" zoomScalePageLayoutView="0" workbookViewId="0" topLeftCell="A1">
      <selection activeCell="F21" sqref="F21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15.875" style="1" customWidth="1"/>
    <col min="4" max="4" width="20.125" style="1" customWidth="1"/>
    <col min="5" max="6" width="17.25390625" style="1" customWidth="1"/>
    <col min="7" max="7" width="17.25390625" style="1" customWidth="1" outlineLevel="1"/>
    <col min="8" max="8" width="13.00390625" style="1" customWidth="1" outlineLevel="1"/>
    <col min="9" max="9" width="17.25390625" style="1" customWidth="1" outlineLevel="1"/>
    <col min="10" max="10" width="13.00390625" style="1" customWidth="1" outlineLevel="1"/>
    <col min="11" max="11" width="17.25390625" style="1" customWidth="1" outlineLevel="1"/>
    <col min="12" max="12" width="12.625" style="1" customWidth="1" outlineLevel="1"/>
    <col min="13" max="13" width="17.25390625" style="1" customWidth="1" outlineLevel="1"/>
    <col min="14" max="14" width="12.625" style="1" customWidth="1" outlineLevel="1"/>
    <col min="15" max="20" width="17.25390625" style="1" customWidth="1"/>
    <col min="21" max="21" width="7.25390625" style="1" hidden="1" customWidth="1"/>
    <col min="22" max="22" width="4.25390625" style="1" hidden="1" customWidth="1"/>
    <col min="23" max="23" width="4.375" style="1" customWidth="1"/>
    <col min="24" max="24" width="5.125" style="1" customWidth="1"/>
    <col min="25" max="25" width="5.75390625" style="1" customWidth="1"/>
    <col min="26" max="26" width="6.25390625" style="1" customWidth="1"/>
    <col min="27" max="27" width="6.625" style="1" customWidth="1"/>
    <col min="28" max="28" width="6.25390625" style="1" customWidth="1"/>
    <col min="29" max="30" width="5.75390625" style="1" customWidth="1"/>
    <col min="31" max="31" width="14.75390625" style="1" customWidth="1"/>
    <col min="32" max="41" width="5.75390625" style="1" customWidth="1"/>
    <col min="42" max="16384" width="9.125" style="1" customWidth="1"/>
  </cols>
  <sheetData>
    <row r="1" ht="15.75">
      <c r="T1" s="48" t="s">
        <v>89</v>
      </c>
    </row>
    <row r="2" spans="17:20" ht="18.75">
      <c r="Q2" s="33"/>
      <c r="R2" s="33"/>
      <c r="S2" s="33"/>
      <c r="T2" s="3"/>
    </row>
    <row r="4" spans="1:18" ht="15.75">
      <c r="A4" s="239" t="s">
        <v>22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19"/>
      <c r="R4" s="119"/>
    </row>
    <row r="5" spans="1:20" ht="15.75">
      <c r="A5" s="240" t="s">
        <v>176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1"/>
      <c r="R5" s="21"/>
      <c r="S5" s="21"/>
      <c r="T5" s="21"/>
    </row>
    <row r="6" spans="1:20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4" ht="18.75">
      <c r="A7" s="224" t="str">
        <f>'прил.1'!A6</f>
        <v>ОП "КурскАтомЭнергоСбыт" АО "АтомЭнергоСбыт" 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110"/>
      <c r="R7" s="110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3" ht="15.75">
      <c r="A8" s="208" t="s">
        <v>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111"/>
      <c r="R8" s="111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1" ht="15.75" customHeight="1" thickBo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1.5" customHeight="1">
      <c r="A10" s="246" t="s">
        <v>3</v>
      </c>
      <c r="B10" s="251" t="s">
        <v>69</v>
      </c>
      <c r="C10" s="251" t="s">
        <v>70</v>
      </c>
      <c r="D10" s="232" t="s">
        <v>128</v>
      </c>
      <c r="E10" s="254" t="s">
        <v>127</v>
      </c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5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1:20" ht="44.25" customHeight="1">
      <c r="A11" s="247"/>
      <c r="B11" s="252"/>
      <c r="C11" s="252"/>
      <c r="D11" s="229"/>
      <c r="E11" s="230" t="s">
        <v>67</v>
      </c>
      <c r="F11" s="230"/>
      <c r="G11" s="230" t="s">
        <v>185</v>
      </c>
      <c r="H11" s="230"/>
      <c r="I11" s="230" t="s">
        <v>186</v>
      </c>
      <c r="J11" s="230"/>
      <c r="K11" s="230" t="s">
        <v>187</v>
      </c>
      <c r="L11" s="230"/>
      <c r="M11" s="230" t="s">
        <v>188</v>
      </c>
      <c r="N11" s="230"/>
      <c r="O11" s="230" t="s">
        <v>117</v>
      </c>
      <c r="P11" s="230"/>
      <c r="Q11" s="230" t="s">
        <v>180</v>
      </c>
      <c r="R11" s="230"/>
      <c r="S11" s="229" t="s">
        <v>72</v>
      </c>
      <c r="T11" s="249"/>
    </row>
    <row r="12" spans="1:20" ht="69.75" customHeight="1">
      <c r="A12" s="247"/>
      <c r="B12" s="252"/>
      <c r="C12" s="252"/>
      <c r="D12" s="229"/>
      <c r="E12" s="230" t="s">
        <v>11</v>
      </c>
      <c r="F12" s="230"/>
      <c r="G12" s="230" t="s">
        <v>11</v>
      </c>
      <c r="H12" s="230"/>
      <c r="I12" s="230" t="s">
        <v>11</v>
      </c>
      <c r="J12" s="230"/>
      <c r="K12" s="230" t="s">
        <v>11</v>
      </c>
      <c r="L12" s="230"/>
      <c r="M12" s="230" t="s">
        <v>11</v>
      </c>
      <c r="N12" s="230"/>
      <c r="O12" s="230" t="s">
        <v>11</v>
      </c>
      <c r="P12" s="230"/>
      <c r="Q12" s="230" t="s">
        <v>11</v>
      </c>
      <c r="R12" s="230"/>
      <c r="S12" s="230" t="s">
        <v>11</v>
      </c>
      <c r="T12" s="231"/>
    </row>
    <row r="13" spans="1:20" ht="37.5" customHeight="1">
      <c r="A13" s="247"/>
      <c r="B13" s="252"/>
      <c r="C13" s="252"/>
      <c r="D13" s="229" t="s">
        <v>13</v>
      </c>
      <c r="E13" s="123" t="s">
        <v>75</v>
      </c>
      <c r="F13" s="123" t="s">
        <v>125</v>
      </c>
      <c r="G13" s="123" t="s">
        <v>75</v>
      </c>
      <c r="H13" s="123" t="s">
        <v>125</v>
      </c>
      <c r="I13" s="123" t="s">
        <v>75</v>
      </c>
      <c r="J13" s="123" t="s">
        <v>125</v>
      </c>
      <c r="K13" s="123" t="s">
        <v>75</v>
      </c>
      <c r="L13" s="123" t="s">
        <v>125</v>
      </c>
      <c r="M13" s="123" t="s">
        <v>75</v>
      </c>
      <c r="N13" s="123" t="s">
        <v>125</v>
      </c>
      <c r="O13" s="123" t="s">
        <v>75</v>
      </c>
      <c r="P13" s="123" t="s">
        <v>126</v>
      </c>
      <c r="Q13" s="123" t="s">
        <v>75</v>
      </c>
      <c r="R13" s="123" t="s">
        <v>126</v>
      </c>
      <c r="S13" s="123" t="s">
        <v>75</v>
      </c>
      <c r="T13" s="127" t="s">
        <v>125</v>
      </c>
    </row>
    <row r="14" spans="1:20" ht="66" customHeight="1">
      <c r="A14" s="248"/>
      <c r="B14" s="253"/>
      <c r="C14" s="253"/>
      <c r="D14" s="229"/>
      <c r="E14" s="7" t="s">
        <v>76</v>
      </c>
      <c r="F14" s="7" t="s">
        <v>76</v>
      </c>
      <c r="G14" s="7" t="s">
        <v>76</v>
      </c>
      <c r="H14" s="7" t="s">
        <v>76</v>
      </c>
      <c r="I14" s="7" t="s">
        <v>76</v>
      </c>
      <c r="J14" s="7" t="s">
        <v>76</v>
      </c>
      <c r="K14" s="7" t="s">
        <v>76</v>
      </c>
      <c r="L14" s="7" t="s">
        <v>76</v>
      </c>
      <c r="M14" s="7" t="s">
        <v>76</v>
      </c>
      <c r="N14" s="7" t="s">
        <v>76</v>
      </c>
      <c r="O14" s="7" t="s">
        <v>76</v>
      </c>
      <c r="P14" s="7" t="s">
        <v>76</v>
      </c>
      <c r="Q14" s="7" t="s">
        <v>76</v>
      </c>
      <c r="R14" s="7" t="s">
        <v>76</v>
      </c>
      <c r="S14" s="7" t="s">
        <v>76</v>
      </c>
      <c r="T14" s="75" t="s">
        <v>76</v>
      </c>
    </row>
    <row r="15" spans="1:22" ht="15.75">
      <c r="A15" s="128">
        <v>1</v>
      </c>
      <c r="B15" s="124">
        <v>2</v>
      </c>
      <c r="C15" s="124">
        <v>3</v>
      </c>
      <c r="D15" s="124">
        <v>4</v>
      </c>
      <c r="E15" s="124">
        <v>5</v>
      </c>
      <c r="F15" s="124">
        <v>6</v>
      </c>
      <c r="G15" s="124">
        <v>7</v>
      </c>
      <c r="H15" s="124">
        <v>8</v>
      </c>
      <c r="I15" s="124">
        <v>9</v>
      </c>
      <c r="J15" s="124">
        <v>10</v>
      </c>
      <c r="K15" s="124">
        <v>11</v>
      </c>
      <c r="L15" s="124">
        <v>12</v>
      </c>
      <c r="M15" s="124">
        <v>13</v>
      </c>
      <c r="N15" s="124">
        <v>14</v>
      </c>
      <c r="O15" s="124">
        <v>15</v>
      </c>
      <c r="P15" s="124">
        <v>16</v>
      </c>
      <c r="Q15" s="124">
        <v>17</v>
      </c>
      <c r="R15" s="124">
        <v>18</v>
      </c>
      <c r="S15" s="124">
        <v>19</v>
      </c>
      <c r="T15" s="125">
        <v>20</v>
      </c>
      <c r="U15" s="129">
        <v>21</v>
      </c>
      <c r="V15" s="124">
        <v>22</v>
      </c>
    </row>
    <row r="16" spans="1:22" ht="15.75">
      <c r="A16" s="73" t="str">
        <f>'прил.1'!A13</f>
        <v>1.</v>
      </c>
      <c r="B16" s="43" t="str">
        <f>'прил.1'!B13</f>
        <v>Приобретение имущества общего и специального назначения </v>
      </c>
      <c r="C16" s="36"/>
      <c r="D16" s="15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6"/>
      <c r="S16" s="42"/>
      <c r="T16" s="144"/>
      <c r="U16" s="63">
        <f>T16-R16-P16-F16</f>
        <v>0</v>
      </c>
      <c r="V16" s="63">
        <f>T16+S16-D16</f>
        <v>0</v>
      </c>
    </row>
    <row r="17" spans="1:22" ht="15.75">
      <c r="A17" s="69" t="str">
        <f>'прил.1'!A14</f>
        <v>1.1.</v>
      </c>
      <c r="B17" s="38" t="str">
        <f>'прил.1'!B14</f>
        <v>Установка шлагбаумов: г.Курск, ул. Энгельса, д.134 </v>
      </c>
      <c r="C17" s="39" t="str">
        <f>'прил.1'!C14</f>
        <v>K_L01</v>
      </c>
      <c r="D17" s="183">
        <f>'прил.2'!G14</f>
        <v>0.20280000000000004</v>
      </c>
      <c r="E17" s="183"/>
      <c r="F17" s="183">
        <f>'прил.2'!L14</f>
        <v>0</v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>
        <f>'прил.2'!M14</f>
        <v>0.2028</v>
      </c>
      <c r="Q17" s="183"/>
      <c r="R17" s="183">
        <f>'прил.2'!N14</f>
        <v>0</v>
      </c>
      <c r="S17" s="183">
        <f aca="true" t="shared" si="0" ref="S17:T19">Q17+O17+E17</f>
        <v>0</v>
      </c>
      <c r="T17" s="185">
        <f t="shared" si="0"/>
        <v>0.2028</v>
      </c>
      <c r="U17" s="63">
        <f>T17-R17-P17-F17</f>
        <v>0</v>
      </c>
      <c r="V17" s="63">
        <f>T17+S17-D17</f>
        <v>0</v>
      </c>
    </row>
    <row r="18" spans="1:22" ht="15.75">
      <c r="A18" s="69" t="str">
        <f>'прил.1'!A15</f>
        <v>1.2.</v>
      </c>
      <c r="B18" s="133" t="str">
        <f>'прил.1'!B15</f>
        <v>Модернизация системы контроля и управления доступом: г. Курск, ул. Энгельса, д. 134</v>
      </c>
      <c r="C18" s="140" t="str">
        <f>'прил.1'!C15</f>
        <v>K_L02</v>
      </c>
      <c r="D18" s="183">
        <f>'прил.2'!G15</f>
        <v>0.24960000000000002</v>
      </c>
      <c r="E18" s="183"/>
      <c r="F18" s="183">
        <f>'прил.2'!L15</f>
        <v>0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>
        <f>'прил.2'!M15</f>
        <v>0.2496</v>
      </c>
      <c r="Q18" s="183"/>
      <c r="R18" s="183">
        <f>'прил.2'!N15</f>
        <v>0</v>
      </c>
      <c r="S18" s="183">
        <f t="shared" si="0"/>
        <v>0</v>
      </c>
      <c r="T18" s="185">
        <f t="shared" si="0"/>
        <v>0.2496</v>
      </c>
      <c r="U18" s="63"/>
      <c r="V18" s="63"/>
    </row>
    <row r="19" spans="1:22" ht="15.75">
      <c r="A19" s="69" t="str">
        <f>'прил.1'!A16</f>
        <v>1.3.</v>
      </c>
      <c r="B19" s="133" t="str">
        <f>'прил.1'!B16</f>
        <v>Система видеонаблюдения: г. Курск, ул. Энгельса, д. 134</v>
      </c>
      <c r="C19" s="140" t="str">
        <f>'прил.1'!C16</f>
        <v>K_L03</v>
      </c>
      <c r="D19" s="183">
        <f>'прил.2'!G16</f>
        <v>1.070784</v>
      </c>
      <c r="E19" s="183"/>
      <c r="F19" s="183">
        <f>'прил.2'!L16</f>
        <v>0</v>
      </c>
      <c r="G19" s="183"/>
      <c r="H19" s="183"/>
      <c r="I19" s="183"/>
      <c r="J19" s="183"/>
      <c r="K19" s="183"/>
      <c r="L19" s="183"/>
      <c r="M19" s="183"/>
      <c r="N19" s="183"/>
      <c r="O19" s="183"/>
      <c r="P19" s="183">
        <f>'прил.2'!M16</f>
        <v>0</v>
      </c>
      <c r="Q19" s="183"/>
      <c r="R19" s="183">
        <f>'прил.2'!N16</f>
        <v>1.070784</v>
      </c>
      <c r="S19" s="183">
        <f t="shared" si="0"/>
        <v>0</v>
      </c>
      <c r="T19" s="185">
        <f t="shared" si="0"/>
        <v>1.070784</v>
      </c>
      <c r="U19" s="63"/>
      <c r="V19" s="63"/>
    </row>
    <row r="20" spans="1:22" ht="15.75">
      <c r="A20" s="69" t="str">
        <f>'прил.1'!A17</f>
        <v>1.4.</v>
      </c>
      <c r="B20" s="133" t="str">
        <f>'прил.1'!B17</f>
        <v>Охранно-пожарная сигнализация в участке </v>
      </c>
      <c r="C20" s="140" t="str">
        <f>'прил.1'!C17</f>
        <v>K_L04</v>
      </c>
      <c r="D20" s="183">
        <f>'прил.2'!G17</f>
        <v>2.2979840000000005</v>
      </c>
      <c r="E20" s="183"/>
      <c r="F20" s="183">
        <f>'прил.2'!L17</f>
        <v>0</v>
      </c>
      <c r="G20" s="183"/>
      <c r="H20" s="183"/>
      <c r="I20" s="183"/>
      <c r="J20" s="183"/>
      <c r="K20" s="183"/>
      <c r="L20" s="183"/>
      <c r="M20" s="183"/>
      <c r="N20" s="183"/>
      <c r="O20" s="183"/>
      <c r="P20" s="183">
        <f>'прил.2'!M17</f>
        <v>1.4976</v>
      </c>
      <c r="Q20" s="183"/>
      <c r="R20" s="183">
        <f>'прил.2'!N17</f>
        <v>0.800384</v>
      </c>
      <c r="S20" s="183">
        <f>Q20+O20+E20</f>
        <v>0</v>
      </c>
      <c r="T20" s="185">
        <f>R20+P20+F20</f>
        <v>2.297984</v>
      </c>
      <c r="U20" s="63"/>
      <c r="V20" s="63"/>
    </row>
    <row r="21" spans="1:22" ht="15.75">
      <c r="A21" s="69" t="str">
        <f>'прил.1'!A18</f>
        <v>1.5.</v>
      </c>
      <c r="B21" s="133" t="str">
        <f>'прил.1'!B18</f>
        <v>Реализация мероприятий по соответствию бренд-буку</v>
      </c>
      <c r="C21" s="140" t="str">
        <f>'прил.1'!C18</f>
        <v>L_КАЭС.01</v>
      </c>
      <c r="D21" s="183">
        <f>'прил.2'!G18</f>
        <v>2.9949950000000003</v>
      </c>
      <c r="E21" s="183"/>
      <c r="F21" s="183">
        <f>'прил.2'!L18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f>'прил.2'!M18</f>
        <v>2.100395</v>
      </c>
      <c r="Q21" s="183"/>
      <c r="R21" s="183">
        <f>'прил.2'!N18</f>
        <v>0.8946000000000001</v>
      </c>
      <c r="S21" s="183">
        <f>Q21+O21+E21</f>
        <v>0</v>
      </c>
      <c r="T21" s="185">
        <f>R21+P21+F21</f>
        <v>2.994995</v>
      </c>
      <c r="U21" s="63"/>
      <c r="V21" s="63"/>
    </row>
    <row r="22" spans="1:22" ht="15.75">
      <c r="A22" s="73" t="str">
        <f>'прил.1'!A19</f>
        <v>2.</v>
      </c>
      <c r="B22" s="43" t="str">
        <f>'прил.1'!B19</f>
        <v>Приобретение ИТ-имущества </v>
      </c>
      <c r="C22" s="132"/>
      <c r="D22" s="183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4"/>
      <c r="U22" s="63"/>
      <c r="V22" s="63"/>
    </row>
    <row r="23" spans="1:22" ht="15.75">
      <c r="A23" s="69" t="str">
        <f>'прил.2'!A20</f>
        <v>2.1.</v>
      </c>
      <c r="B23" s="38" t="str">
        <f>'прил.2'!B20</f>
        <v>Коммутатор Cisco</v>
      </c>
      <c r="C23" s="39" t="str">
        <f>'прил.2'!C20</f>
        <v>K_L05</v>
      </c>
      <c r="D23" s="183">
        <f>'прил.2'!G20</f>
        <v>5.859041625000001</v>
      </c>
      <c r="E23" s="183"/>
      <c r="F23" s="183">
        <f>'прил.2'!L20</f>
        <v>0</v>
      </c>
      <c r="G23" s="183"/>
      <c r="H23" s="183"/>
      <c r="I23" s="183"/>
      <c r="J23" s="183">
        <f>F23</f>
        <v>0</v>
      </c>
      <c r="K23" s="183"/>
      <c r="L23" s="183"/>
      <c r="M23" s="183"/>
      <c r="N23" s="183"/>
      <c r="O23" s="183"/>
      <c r="P23" s="183">
        <f>'прил.2'!M20</f>
        <v>5.859041625</v>
      </c>
      <c r="Q23" s="183"/>
      <c r="R23" s="183">
        <f>'прил.2'!N20</f>
        <v>0</v>
      </c>
      <c r="S23" s="183">
        <f aca="true" t="shared" si="1" ref="S23:S28">Q23+O23+E23</f>
        <v>0</v>
      </c>
      <c r="T23" s="185">
        <f aca="true" t="shared" si="2" ref="T23:T28">R23+P23+F23</f>
        <v>5.859041625</v>
      </c>
      <c r="U23" s="63">
        <f aca="true" t="shared" si="3" ref="U23:U28">T23-R23-P23-F23</f>
        <v>0</v>
      </c>
      <c r="V23" s="63">
        <f aca="true" t="shared" si="4" ref="V23:V28">T23+S23-D23</f>
        <v>0</v>
      </c>
    </row>
    <row r="24" spans="1:22" ht="15.75">
      <c r="A24" s="69" t="str">
        <f>'прил.2'!A21</f>
        <v>2.2.</v>
      </c>
      <c r="B24" s="38" t="str">
        <f>'прил.2'!B21</f>
        <v>Приобретение оргтехники</v>
      </c>
      <c r="C24" s="39" t="str">
        <f>'прил.2'!C21</f>
        <v>K_L06</v>
      </c>
      <c r="D24" s="183">
        <f>'прил.2'!G21</f>
        <v>13.663123710312835</v>
      </c>
      <c r="E24" s="183"/>
      <c r="F24" s="183">
        <f>'прил.2'!L21</f>
        <v>0</v>
      </c>
      <c r="G24" s="183"/>
      <c r="H24" s="183"/>
      <c r="I24" s="183"/>
      <c r="J24" s="183">
        <f>F24</f>
        <v>0</v>
      </c>
      <c r="K24" s="183"/>
      <c r="L24" s="183"/>
      <c r="M24" s="183"/>
      <c r="N24" s="183"/>
      <c r="O24" s="183"/>
      <c r="P24" s="183">
        <f>'прил.2'!M21</f>
        <v>0</v>
      </c>
      <c r="Q24" s="183"/>
      <c r="R24" s="183">
        <f>'прил.2'!N21</f>
        <v>13.663123710312833</v>
      </c>
      <c r="S24" s="183">
        <f t="shared" si="1"/>
        <v>0</v>
      </c>
      <c r="T24" s="185">
        <f t="shared" si="2"/>
        <v>13.663123710312833</v>
      </c>
      <c r="U24" s="63">
        <f t="shared" si="3"/>
        <v>0</v>
      </c>
      <c r="V24" s="63">
        <f t="shared" si="4"/>
        <v>0</v>
      </c>
    </row>
    <row r="25" spans="1:22" ht="15.75">
      <c r="A25" s="69" t="str">
        <f>'прил.2'!A22</f>
        <v>2.3.</v>
      </c>
      <c r="B25" s="38" t="str">
        <f>'прил.2'!B22</f>
        <v>Система хранения данных (СХД) Lenovo Storage V3700 V2 SFF Control Enclosure (6535C2D)</v>
      </c>
      <c r="C25" s="39" t="str">
        <f>'прил.2'!C22</f>
        <v>K_L07</v>
      </c>
      <c r="D25" s="183">
        <f>'прил.2'!G22</f>
        <v>6.186124325</v>
      </c>
      <c r="E25" s="183"/>
      <c r="F25" s="183">
        <f>'прил.2'!L22</f>
        <v>0</v>
      </c>
      <c r="G25" s="183"/>
      <c r="H25" s="183"/>
      <c r="I25" s="183"/>
      <c r="J25" s="183">
        <f>F25</f>
        <v>0</v>
      </c>
      <c r="K25" s="183"/>
      <c r="L25" s="183"/>
      <c r="M25" s="183"/>
      <c r="N25" s="183"/>
      <c r="O25" s="183"/>
      <c r="P25" s="183">
        <f>'прил.2'!M22</f>
        <v>6.186124325</v>
      </c>
      <c r="Q25" s="183"/>
      <c r="R25" s="183">
        <f>'прил.2'!N22</f>
        <v>0</v>
      </c>
      <c r="S25" s="183">
        <f t="shared" si="1"/>
        <v>0</v>
      </c>
      <c r="T25" s="185">
        <f t="shared" si="2"/>
        <v>6.186124325</v>
      </c>
      <c r="U25" s="63">
        <f t="shared" si="3"/>
        <v>0</v>
      </c>
      <c r="V25" s="63">
        <f t="shared" si="4"/>
        <v>0</v>
      </c>
    </row>
    <row r="26" spans="1:22" ht="15.75">
      <c r="A26" s="69" t="str">
        <f>'прил.2'!A23</f>
        <v>2.4.</v>
      </c>
      <c r="B26" s="38" t="str">
        <f>'прил.2'!B23</f>
        <v>ИБП APC SRC2KI Smart-UPS RC 2000VA 1600W</v>
      </c>
      <c r="C26" s="39" t="str">
        <f>'прил.2'!C23</f>
        <v>K_01</v>
      </c>
      <c r="D26" s="183">
        <f>'прил.2'!G23</f>
        <v>0.22722261233242536</v>
      </c>
      <c r="E26" s="183"/>
      <c r="F26" s="183">
        <f>'прил.2'!L23</f>
        <v>0</v>
      </c>
      <c r="G26" s="183"/>
      <c r="H26" s="183"/>
      <c r="I26" s="183"/>
      <c r="J26" s="183">
        <f>F26</f>
        <v>0</v>
      </c>
      <c r="K26" s="183"/>
      <c r="L26" s="183"/>
      <c r="M26" s="183"/>
      <c r="N26" s="183"/>
      <c r="O26" s="183"/>
      <c r="P26" s="183">
        <f>'прил.2'!M23</f>
        <v>0.22722261233242536</v>
      </c>
      <c r="Q26" s="183"/>
      <c r="R26" s="183">
        <f>'прил.2'!N23</f>
        <v>0</v>
      </c>
      <c r="S26" s="183">
        <f t="shared" si="1"/>
        <v>0</v>
      </c>
      <c r="T26" s="185">
        <f t="shared" si="2"/>
        <v>0.22722261233242536</v>
      </c>
      <c r="U26" s="63">
        <f t="shared" si="3"/>
        <v>0</v>
      </c>
      <c r="V26" s="63">
        <f t="shared" si="4"/>
        <v>0</v>
      </c>
    </row>
    <row r="27" spans="1:22" ht="15.75">
      <c r="A27" s="69" t="str">
        <f>'прил.2'!A24</f>
        <v>2.5.</v>
      </c>
      <c r="B27" s="38" t="str">
        <f>'прил.2'!B24</f>
        <v>Ленточная библиотека HPE STOREEVER MSL2024 LTO-7 15000 SAS (P9G69A</v>
      </c>
      <c r="C27" s="39" t="str">
        <f>'прил.2'!C24</f>
        <v>K_02</v>
      </c>
      <c r="D27" s="183">
        <f>'прил.2'!G24</f>
        <v>0.15850669304858245</v>
      </c>
      <c r="E27" s="183"/>
      <c r="F27" s="183">
        <f>'прил.2'!L24</f>
        <v>0</v>
      </c>
      <c r="G27" s="183"/>
      <c r="H27" s="183"/>
      <c r="I27" s="183"/>
      <c r="J27" s="183"/>
      <c r="K27" s="183"/>
      <c r="L27" s="183"/>
      <c r="M27" s="183"/>
      <c r="N27" s="183"/>
      <c r="O27" s="183"/>
      <c r="P27" s="183">
        <f>'прил.2'!M24</f>
        <v>0.15850669304858245</v>
      </c>
      <c r="Q27" s="183"/>
      <c r="R27" s="183">
        <f>'прил.2'!N24</f>
        <v>0</v>
      </c>
      <c r="S27" s="183">
        <f t="shared" si="1"/>
        <v>0</v>
      </c>
      <c r="T27" s="185">
        <f t="shared" si="2"/>
        <v>0.15850669304858245</v>
      </c>
      <c r="U27" s="63">
        <f t="shared" si="3"/>
        <v>0</v>
      </c>
      <c r="V27" s="63">
        <f t="shared" si="4"/>
        <v>0</v>
      </c>
    </row>
    <row r="28" spans="1:22" ht="31.5">
      <c r="A28" s="158" t="str">
        <f>'прил.2'!A25</f>
        <v>2.6.</v>
      </c>
      <c r="B28" s="162" t="str">
        <f>'прил.2'!B25</f>
        <v>Система хранения данных (СХД) HPE MSA 1050 8Gb Fibre Channel Dual Controller SFF Storage (Q2R19A)</v>
      </c>
      <c r="C28" s="163" t="str">
        <f>'прил.2'!C25</f>
        <v>K_03</v>
      </c>
      <c r="D28" s="183">
        <f>'прил.2'!G25</f>
        <v>1.1032332288644078</v>
      </c>
      <c r="E28" s="183"/>
      <c r="F28" s="183">
        <f>'прил.2'!L25</f>
        <v>0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>
        <f>'прил.2'!M25</f>
        <v>1.1032332288644078</v>
      </c>
      <c r="Q28" s="183"/>
      <c r="R28" s="183">
        <f>'прил.2'!N25</f>
        <v>0</v>
      </c>
      <c r="S28" s="183">
        <f t="shared" si="1"/>
        <v>0</v>
      </c>
      <c r="T28" s="185">
        <f t="shared" si="2"/>
        <v>1.1032332288644078</v>
      </c>
      <c r="U28" s="63">
        <f t="shared" si="3"/>
        <v>0</v>
      </c>
      <c r="V28" s="63">
        <f t="shared" si="4"/>
        <v>0</v>
      </c>
    </row>
    <row r="29" spans="1:22" ht="15.75">
      <c r="A29" s="158" t="str">
        <f>'прил.2'!A26</f>
        <v>2.7.</v>
      </c>
      <c r="B29" s="162" t="str">
        <f>'прил.2'!B26</f>
        <v>Моноблок 23.8" HP 24-df1008ur (2Y0P0EA)</v>
      </c>
      <c r="C29" s="163" t="str">
        <f>'прил.2'!C26</f>
        <v>L_КАЭС.01</v>
      </c>
      <c r="D29" s="183">
        <f>'прил.2'!G26</f>
        <v>12.9965</v>
      </c>
      <c r="E29" s="183"/>
      <c r="F29" s="183">
        <f>'прил.2'!L26</f>
        <v>0</v>
      </c>
      <c r="G29" s="183"/>
      <c r="H29" s="183"/>
      <c r="I29" s="183"/>
      <c r="J29" s="183"/>
      <c r="K29" s="183"/>
      <c r="L29" s="183"/>
      <c r="M29" s="183"/>
      <c r="N29" s="183"/>
      <c r="O29" s="183"/>
      <c r="P29" s="183">
        <f>'прил.2'!M26</f>
        <v>6.49825</v>
      </c>
      <c r="Q29" s="183"/>
      <c r="R29" s="183">
        <f>'прил.2'!N26</f>
        <v>6.49825</v>
      </c>
      <c r="S29" s="183">
        <f>Q29+O29+E29</f>
        <v>0</v>
      </c>
      <c r="T29" s="185">
        <f>R29+P29+F29</f>
        <v>12.9965</v>
      </c>
      <c r="U29" s="63"/>
      <c r="V29" s="63"/>
    </row>
    <row r="30" spans="1:22" ht="15.75">
      <c r="A30" s="68" t="str">
        <f>'прил.2'!A27</f>
        <v>3.</v>
      </c>
      <c r="B30" s="43" t="str">
        <f>'прил.2'!B27</f>
        <v>Оснащение интеллектуальной системой учета</v>
      </c>
      <c r="C30" s="148"/>
      <c r="D30" s="183"/>
      <c r="E30" s="183"/>
      <c r="F30" s="182"/>
      <c r="G30" s="183"/>
      <c r="H30" s="182"/>
      <c r="I30" s="183"/>
      <c r="J30" s="182"/>
      <c r="K30" s="183"/>
      <c r="L30" s="182"/>
      <c r="M30" s="183"/>
      <c r="N30" s="182"/>
      <c r="O30" s="183"/>
      <c r="P30" s="183"/>
      <c r="Q30" s="183"/>
      <c r="R30" s="183"/>
      <c r="S30" s="182"/>
      <c r="T30" s="184"/>
      <c r="U30" s="63">
        <f>T30-R30-P30-F30</f>
        <v>0</v>
      </c>
      <c r="V30" s="63">
        <f>T30+S30-D30</f>
        <v>0</v>
      </c>
    </row>
    <row r="31" spans="1:22" ht="15.75">
      <c r="A31" s="69" t="str">
        <f>'прил.1'!A28</f>
        <v>3.1.</v>
      </c>
      <c r="B31" s="38" t="str">
        <f>'прил.1'!B28</f>
        <v>Оборудование многоквартирных жилых домов интеллектуальной системой учета </v>
      </c>
      <c r="C31" s="39" t="str">
        <f>'прил.1'!C28</f>
        <v>K_L15</v>
      </c>
      <c r="D31" s="183">
        <f>'прил.2'!G28</f>
        <v>696.8115434666668</v>
      </c>
      <c r="E31" s="183"/>
      <c r="F31" s="183">
        <f>'прил.2'!L28</f>
        <v>232.33305964166664</v>
      </c>
      <c r="G31" s="183"/>
      <c r="H31" s="183"/>
      <c r="I31" s="183"/>
      <c r="J31" s="183"/>
      <c r="K31" s="183"/>
      <c r="L31" s="183"/>
      <c r="M31" s="183"/>
      <c r="N31" s="183">
        <f>F31</f>
        <v>232.33305964166664</v>
      </c>
      <c r="O31" s="183"/>
      <c r="P31" s="183">
        <f>'прил.2'!M28</f>
        <v>232.260640425</v>
      </c>
      <c r="Q31" s="183"/>
      <c r="R31" s="183">
        <f>'прил.2'!N28</f>
        <v>232.2178434</v>
      </c>
      <c r="S31" s="183">
        <f>Q31+O31+E31</f>
        <v>0</v>
      </c>
      <c r="T31" s="185">
        <f>R31+P31+F31</f>
        <v>696.8115434666666</v>
      </c>
      <c r="U31" s="63">
        <f>T31-R31-P31-F31</f>
        <v>0</v>
      </c>
      <c r="V31" s="63">
        <f>T31+S31-D31</f>
        <v>0</v>
      </c>
    </row>
    <row r="32" spans="1:22" ht="15.75">
      <c r="A32" s="68" t="str">
        <f>'прил.2'!A29</f>
        <v>4.</v>
      </c>
      <c r="B32" s="43" t="str">
        <f>'прил.2'!B29</f>
        <v>Иные проекты</v>
      </c>
      <c r="C32" s="39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5"/>
      <c r="U32" s="63"/>
      <c r="V32" s="63"/>
    </row>
    <row r="33" spans="1:22" ht="15.75">
      <c r="A33" s="69" t="str">
        <f>'прил.1'!A30</f>
        <v>4.1.</v>
      </c>
      <c r="B33" s="38" t="str">
        <f>'прил.1'!B30</f>
        <v>Модернизация ЕКЦ (Робот-оператор)</v>
      </c>
      <c r="C33" s="39" t="str">
        <f>'прил.1'!C30</f>
        <v>L_КАЭС.03</v>
      </c>
      <c r="D33" s="183">
        <f>'прил.2'!G30</f>
        <v>22.756666666666668</v>
      </c>
      <c r="E33" s="183"/>
      <c r="F33" s="183">
        <f>'прил.2'!L30</f>
        <v>0</v>
      </c>
      <c r="G33" s="183"/>
      <c r="H33" s="183"/>
      <c r="I33" s="183"/>
      <c r="J33" s="183"/>
      <c r="K33" s="183"/>
      <c r="L33" s="183"/>
      <c r="M33" s="183"/>
      <c r="N33" s="183">
        <f>F33</f>
        <v>0</v>
      </c>
      <c r="O33" s="183"/>
      <c r="P33" s="183">
        <f>'прил.2'!M30</f>
        <v>22.756666666666668</v>
      </c>
      <c r="Q33" s="183"/>
      <c r="R33" s="183">
        <f>'прил.2'!N30</f>
        <v>0</v>
      </c>
      <c r="S33" s="183">
        <f>Q33+O33+E33</f>
        <v>0</v>
      </c>
      <c r="T33" s="185">
        <f>R33+P33+F33</f>
        <v>22.756666666666668</v>
      </c>
      <c r="U33" s="63"/>
      <c r="V33" s="63"/>
    </row>
    <row r="34" spans="1:22" s="35" customFormat="1" ht="16.5" thickBot="1">
      <c r="A34" s="71"/>
      <c r="B34" s="159" t="s">
        <v>175</v>
      </c>
      <c r="C34" s="164"/>
      <c r="D34" s="192">
        <f aca="true" t="shared" si="5" ref="D34:T34">SUM(D16:D33)</f>
        <v>766.5781253278917</v>
      </c>
      <c r="E34" s="192">
        <f t="shared" si="5"/>
        <v>0</v>
      </c>
      <c r="F34" s="192">
        <f t="shared" si="5"/>
        <v>232.33305964166664</v>
      </c>
      <c r="G34" s="192">
        <f t="shared" si="5"/>
        <v>0</v>
      </c>
      <c r="H34" s="192">
        <f t="shared" si="5"/>
        <v>0</v>
      </c>
      <c r="I34" s="192">
        <f t="shared" si="5"/>
        <v>0</v>
      </c>
      <c r="J34" s="192">
        <f t="shared" si="5"/>
        <v>0</v>
      </c>
      <c r="K34" s="192">
        <f t="shared" si="5"/>
        <v>0</v>
      </c>
      <c r="L34" s="192">
        <f t="shared" si="5"/>
        <v>0</v>
      </c>
      <c r="M34" s="192">
        <f t="shared" si="5"/>
        <v>0</v>
      </c>
      <c r="N34" s="192">
        <f t="shared" si="5"/>
        <v>232.33305964166664</v>
      </c>
      <c r="O34" s="192">
        <f t="shared" si="5"/>
        <v>0</v>
      </c>
      <c r="P34" s="192">
        <f t="shared" si="5"/>
        <v>279.10008057591205</v>
      </c>
      <c r="Q34" s="192">
        <f t="shared" si="5"/>
        <v>0</v>
      </c>
      <c r="R34" s="192">
        <f t="shared" si="5"/>
        <v>255.14498511031283</v>
      </c>
      <c r="S34" s="192">
        <f t="shared" si="5"/>
        <v>0</v>
      </c>
      <c r="T34" s="193">
        <f t="shared" si="5"/>
        <v>766.5781253278916</v>
      </c>
      <c r="U34" s="130"/>
      <c r="V34" s="130"/>
    </row>
    <row r="35" spans="1:22" ht="24.75" customHeight="1">
      <c r="A35" s="115"/>
      <c r="B35" s="116"/>
      <c r="C35" s="1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63">
        <f>T35-R35-P35-F35</f>
        <v>0</v>
      </c>
      <c r="V35" s="63">
        <f>T35+S35-D35</f>
        <v>0</v>
      </c>
    </row>
    <row r="36" spans="1:29" ht="20.25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</row>
    <row r="37" spans="1:20" ht="15.75">
      <c r="A37" s="115"/>
      <c r="B37" s="116"/>
      <c r="C37" s="18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.75">
      <c r="A38" s="115"/>
      <c r="B38" s="11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.75">
      <c r="A39" s="115"/>
      <c r="B39" s="11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.75">
      <c r="A40" s="115"/>
      <c r="B40" s="11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.75">
      <c r="A41" s="115"/>
      <c r="B41" s="1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.75">
      <c r="A42" s="115"/>
      <c r="B42" s="116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.75">
      <c r="A43" s="115"/>
      <c r="B43" s="1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.75">
      <c r="A44" s="115"/>
      <c r="B44" s="1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>
      <c r="A45" s="115"/>
      <c r="B45" s="11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>
      <c r="A46" s="115"/>
      <c r="B46" s="11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.75">
      <c r="A47" s="115"/>
      <c r="B47" s="11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.75">
      <c r="A48" s="115"/>
      <c r="B48" s="11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.75">
      <c r="A49" s="115"/>
      <c r="B49" s="1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.75">
      <c r="A50" s="115"/>
      <c r="B50" s="1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.75">
      <c r="A51" s="115"/>
      <c r="B51" s="11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.75">
      <c r="A52" s="115"/>
      <c r="B52" s="11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>
      <c r="A53" s="115"/>
      <c r="B53" s="116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.75">
      <c r="A54" s="115"/>
      <c r="B54" s="11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.75">
      <c r="A55" s="115"/>
      <c r="B55" s="11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.75">
      <c r="A56" s="115"/>
      <c r="B56" s="1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.75">
      <c r="A57" s="115"/>
      <c r="B57" s="11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.75">
      <c r="A58" s="115"/>
      <c r="B58" s="11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>
      <c r="A59" s="115"/>
      <c r="B59" s="11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>
      <c r="A60" s="115"/>
      <c r="B60" s="11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>
      <c r="A61" s="115"/>
      <c r="B61" s="11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.75">
      <c r="A62" s="115"/>
      <c r="B62" s="11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>
      <c r="A63" s="115"/>
      <c r="B63" s="11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.75">
      <c r="A64" s="115"/>
      <c r="B64" s="11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.75">
      <c r="A65" s="115"/>
      <c r="B65" s="11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.75">
      <c r="A66" s="115"/>
      <c r="B66" s="11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115"/>
      <c r="B67" s="11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115"/>
      <c r="B68" s="11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>
      <c r="A69" s="115"/>
      <c r="B69" s="11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115"/>
      <c r="B70" s="11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115"/>
      <c r="B71" s="11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>
      <c r="A72" s="115"/>
      <c r="B72" s="116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15"/>
      <c r="B73" s="116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>
      <c r="A74" s="115"/>
      <c r="B74" s="116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115"/>
      <c r="B75" s="116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.75">
      <c r="A76" s="115"/>
      <c r="B76" s="11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.75">
      <c r="A77" s="115"/>
      <c r="B77" s="116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.75">
      <c r="A78" s="115"/>
      <c r="B78" s="11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.75">
      <c r="A79" s="115"/>
      <c r="B79" s="116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.75">
      <c r="A80" s="115"/>
      <c r="B80" s="11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.75">
      <c r="A81" s="115"/>
      <c r="B81" s="116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.75">
      <c r="A82" s="115"/>
      <c r="B82" s="11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.75">
      <c r="A83" s="115"/>
      <c r="B83" s="116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.75">
      <c r="A84" s="115"/>
      <c r="B84" s="116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.75">
      <c r="A85" s="115"/>
      <c r="B85" s="116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.75">
      <c r="A86" s="115"/>
      <c r="B86" s="116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.75">
      <c r="A87" s="115"/>
      <c r="B87" s="116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.75">
      <c r="A88" s="115"/>
      <c r="B88" s="116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90" spans="1:20" ht="15.75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</row>
  </sheetData>
  <sheetProtection/>
  <mergeCells count="29">
    <mergeCell ref="S12:T12"/>
    <mergeCell ref="A90:T90"/>
    <mergeCell ref="C10:C14"/>
    <mergeCell ref="D10:D12"/>
    <mergeCell ref="E11:F11"/>
    <mergeCell ref="O11:P11"/>
    <mergeCell ref="E10:T10"/>
    <mergeCell ref="D13:D14"/>
    <mergeCell ref="B10:B14"/>
    <mergeCell ref="A36:AC36"/>
    <mergeCell ref="A4:P4"/>
    <mergeCell ref="A5:P5"/>
    <mergeCell ref="A7:P7"/>
    <mergeCell ref="A8:P8"/>
    <mergeCell ref="A9:T9"/>
    <mergeCell ref="A10:A14"/>
    <mergeCell ref="Q11:R11"/>
    <mergeCell ref="Q12:R12"/>
    <mergeCell ref="S11:T11"/>
    <mergeCell ref="E12:F12"/>
    <mergeCell ref="O12:P12"/>
    <mergeCell ref="G11:H11"/>
    <mergeCell ref="G12:H12"/>
    <mergeCell ref="M11:N11"/>
    <mergeCell ref="M12:N12"/>
    <mergeCell ref="K11:L11"/>
    <mergeCell ref="K12:L12"/>
    <mergeCell ref="I11:J11"/>
    <mergeCell ref="I12:J12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view="pageBreakPreview" zoomScale="70" zoomScaleNormal="85" zoomScaleSheetLayoutView="70" workbookViewId="0" topLeftCell="A7">
      <selection activeCell="C17" sqref="C17:F40"/>
    </sheetView>
  </sheetViews>
  <sheetFormatPr defaultColWidth="83.125" defaultRowHeight="12.75"/>
  <cols>
    <col min="1" max="1" width="10.125" style="81" customWidth="1"/>
    <col min="2" max="2" width="69.375" style="82" customWidth="1"/>
    <col min="3" max="3" width="19.00390625" style="79" customWidth="1"/>
    <col min="4" max="5" width="19.625" style="79" customWidth="1"/>
    <col min="6" max="6" width="20.25390625" style="79" customWidth="1"/>
    <col min="7" max="7" width="16.75390625" style="79" hidden="1" customWidth="1"/>
    <col min="8" max="8" width="22.125" style="79" customWidth="1"/>
    <col min="9" max="254" width="10.25390625" style="79" customWidth="1"/>
    <col min="255" max="255" width="10.125" style="79" customWidth="1"/>
    <col min="256" max="16384" width="83.125" style="79" customWidth="1"/>
  </cols>
  <sheetData>
    <row r="1" spans="1:50" ht="18.75">
      <c r="A1" s="1"/>
      <c r="B1" s="1"/>
      <c r="C1" s="1"/>
      <c r="D1" s="1"/>
      <c r="E1" s="1"/>
      <c r="F1" s="2" t="s">
        <v>115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1"/>
      <c r="AS1" s="1"/>
      <c r="AT1" s="1"/>
      <c r="AU1" s="1"/>
      <c r="AV1" s="1"/>
      <c r="AW1" s="1"/>
      <c r="AX1" s="1"/>
    </row>
    <row r="2" spans="1:50" ht="18.75">
      <c r="A2" s="1"/>
      <c r="B2" s="1"/>
      <c r="C2" s="1"/>
      <c r="D2" s="1"/>
      <c r="E2" s="1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T2" s="1"/>
      <c r="AU2" s="1"/>
      <c r="AV2" s="1"/>
      <c r="AW2" s="1"/>
      <c r="AX2" s="1"/>
    </row>
    <row r="3" spans="1:50" ht="18.75">
      <c r="A3" s="1"/>
      <c r="B3" s="1"/>
      <c r="C3" s="1"/>
      <c r="D3" s="1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</row>
    <row r="5" spans="1:50" ht="15.75">
      <c r="A5" s="266" t="s">
        <v>22</v>
      </c>
      <c r="B5" s="266"/>
      <c r="C5" s="266"/>
      <c r="D5" s="266"/>
      <c r="E5" s="266"/>
      <c r="F5" s="266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15.75">
      <c r="A6" s="267" t="s">
        <v>91</v>
      </c>
      <c r="B6" s="267"/>
      <c r="C6" s="267"/>
      <c r="D6" s="267"/>
      <c r="E6" s="267"/>
      <c r="F6" s="267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1"/>
      <c r="AS6" s="1"/>
      <c r="AT6" s="1"/>
      <c r="AU6" s="1"/>
      <c r="AV6" s="1"/>
      <c r="AW6" s="1"/>
      <c r="AX6" s="1"/>
    </row>
    <row r="7" spans="1:6" ht="15.75">
      <c r="A7" s="268" t="s">
        <v>195</v>
      </c>
      <c r="B7" s="268"/>
      <c r="C7" s="268"/>
      <c r="D7" s="268"/>
      <c r="E7" s="268"/>
      <c r="F7" s="268"/>
    </row>
    <row r="8" spans="1:6" ht="18.75">
      <c r="A8" s="269"/>
      <c r="B8" s="269"/>
      <c r="C8" s="269"/>
      <c r="D8" s="269"/>
      <c r="E8" s="269"/>
      <c r="F8" s="269"/>
    </row>
    <row r="9" spans="1:6" ht="15.75">
      <c r="A9" s="270" t="s">
        <v>2</v>
      </c>
      <c r="B9" s="270"/>
      <c r="C9" s="270"/>
      <c r="D9" s="270"/>
      <c r="E9" s="270"/>
      <c r="F9" s="270"/>
    </row>
    <row r="10" spans="1:6" ht="15.75">
      <c r="A10" s="271"/>
      <c r="B10" s="271"/>
      <c r="C10" s="271"/>
      <c r="D10" s="271"/>
      <c r="E10" s="271"/>
      <c r="F10" s="271"/>
    </row>
    <row r="11" spans="1:31" ht="15.75">
      <c r="A11" s="258" t="s">
        <v>193</v>
      </c>
      <c r="B11" s="258"/>
      <c r="C11" s="258"/>
      <c r="D11" s="258"/>
      <c r="E11" s="258"/>
      <c r="F11" s="258"/>
      <c r="K11" s="82"/>
      <c r="P11" s="82"/>
      <c r="U11" s="82"/>
      <c r="Z11" s="82"/>
      <c r="AE11" s="82"/>
    </row>
    <row r="12" spans="1:6" ht="15.75">
      <c r="A12" s="259" t="s">
        <v>92</v>
      </c>
      <c r="B12" s="259"/>
      <c r="C12" s="259"/>
      <c r="D12" s="259"/>
      <c r="E12" s="259"/>
      <c r="F12" s="259"/>
    </row>
    <row r="13" spans="1:30" ht="16.5" thickBot="1">
      <c r="A13" s="79"/>
      <c r="B13" s="79"/>
      <c r="F13" s="83" t="s">
        <v>23</v>
      </c>
      <c r="Z13" s="84"/>
      <c r="AA13" s="84"/>
      <c r="AB13" s="84"/>
      <c r="AC13" s="84"/>
      <c r="AD13" s="84"/>
    </row>
    <row r="14" spans="1:30" ht="15.75">
      <c r="A14" s="260" t="s">
        <v>24</v>
      </c>
      <c r="B14" s="262" t="s">
        <v>25</v>
      </c>
      <c r="C14" s="85" t="s">
        <v>67</v>
      </c>
      <c r="D14" s="86" t="s">
        <v>117</v>
      </c>
      <c r="E14" s="86" t="s">
        <v>180</v>
      </c>
      <c r="F14" s="87" t="s">
        <v>26</v>
      </c>
      <c r="Z14" s="84"/>
      <c r="AA14" s="84"/>
      <c r="AB14" s="84"/>
      <c r="AC14" s="84"/>
      <c r="AD14" s="84"/>
    </row>
    <row r="15" spans="1:6" ht="15.75">
      <c r="A15" s="261"/>
      <c r="B15" s="263"/>
      <c r="C15" s="88" t="s">
        <v>27</v>
      </c>
      <c r="D15" s="88" t="s">
        <v>27</v>
      </c>
      <c r="E15" s="88" t="s">
        <v>27</v>
      </c>
      <c r="F15" s="89" t="s">
        <v>11</v>
      </c>
    </row>
    <row r="16" spans="1:7" ht="15.75">
      <c r="A16" s="90">
        <v>1</v>
      </c>
      <c r="B16" s="91">
        <v>2</v>
      </c>
      <c r="C16" s="92">
        <v>3</v>
      </c>
      <c r="D16" s="91">
        <v>4</v>
      </c>
      <c r="E16" s="92">
        <v>5</v>
      </c>
      <c r="F16" s="106">
        <v>6</v>
      </c>
      <c r="G16" s="105">
        <v>7</v>
      </c>
    </row>
    <row r="17" spans="1:256" ht="15.75">
      <c r="A17" s="264" t="s">
        <v>28</v>
      </c>
      <c r="B17" s="265"/>
      <c r="C17" s="93">
        <f>C18</f>
        <v>278.79967157</v>
      </c>
      <c r="D17" s="93">
        <f>D18</f>
        <v>334.9200966910945</v>
      </c>
      <c r="E17" s="93">
        <f>E18</f>
        <v>306.1739821323754</v>
      </c>
      <c r="F17" s="94">
        <f>F18</f>
        <v>919.8937503934699</v>
      </c>
      <c r="G17" s="95">
        <f>F17-E17-D17-C17</f>
        <v>0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7" ht="15.75">
      <c r="A18" s="77" t="s">
        <v>29</v>
      </c>
      <c r="B18" s="168" t="s">
        <v>30</v>
      </c>
      <c r="C18" s="202">
        <f>'прил.1'!K32</f>
        <v>278.79967157</v>
      </c>
      <c r="D18" s="202">
        <f>'прил.1'!S32</f>
        <v>334.9200966910945</v>
      </c>
      <c r="E18" s="202">
        <f>'прил.1'!AA32</f>
        <v>306.1739821323754</v>
      </c>
      <c r="F18" s="203">
        <f>+C18+D18+E18</f>
        <v>919.8937503934699</v>
      </c>
      <c r="G18" s="95">
        <f>F18-E18-D18-C18</f>
        <v>0</v>
      </c>
    </row>
    <row r="19" spans="1:7" ht="15.75">
      <c r="A19" s="77" t="s">
        <v>31</v>
      </c>
      <c r="B19" s="166" t="s">
        <v>32</v>
      </c>
      <c r="C19" s="202">
        <f>C18-C29-C39</f>
        <v>226.76452223797384</v>
      </c>
      <c r="D19" s="202">
        <f>D18-D29-D39</f>
        <v>217.6096116563325</v>
      </c>
      <c r="E19" s="202">
        <f>E18-E29-E39</f>
        <v>159.77060065202568</v>
      </c>
      <c r="F19" s="203">
        <f>+C19+D19+E19</f>
        <v>604.1447345463321</v>
      </c>
      <c r="G19" s="95">
        <f>F19-E19-D19-C19</f>
        <v>0</v>
      </c>
    </row>
    <row r="20" spans="1:6" ht="31.5">
      <c r="A20" s="77" t="s">
        <v>33</v>
      </c>
      <c r="B20" s="167" t="s">
        <v>93</v>
      </c>
      <c r="C20" s="202"/>
      <c r="D20" s="202"/>
      <c r="E20" s="202"/>
      <c r="F20" s="203"/>
    </row>
    <row r="21" spans="1:6" ht="15.75" hidden="1">
      <c r="A21" s="77"/>
      <c r="B21" s="169"/>
      <c r="C21" s="202"/>
      <c r="D21" s="202"/>
      <c r="E21" s="202"/>
      <c r="F21" s="203"/>
    </row>
    <row r="22" spans="1:6" ht="15.75" hidden="1">
      <c r="A22" s="77"/>
      <c r="B22" s="169"/>
      <c r="C22" s="202"/>
      <c r="D22" s="202"/>
      <c r="E22" s="202"/>
      <c r="F22" s="203"/>
    </row>
    <row r="23" spans="1:6" ht="15.75" hidden="1">
      <c r="A23" s="77"/>
      <c r="B23" s="169"/>
      <c r="C23" s="202"/>
      <c r="D23" s="202"/>
      <c r="E23" s="202"/>
      <c r="F23" s="203"/>
    </row>
    <row r="24" spans="1:6" ht="31.5">
      <c r="A24" s="77" t="s">
        <v>34</v>
      </c>
      <c r="B24" s="167" t="s">
        <v>94</v>
      </c>
      <c r="C24" s="202">
        <f>C19</f>
        <v>226.76452223797384</v>
      </c>
      <c r="D24" s="202">
        <f>D19</f>
        <v>217.6096116563325</v>
      </c>
      <c r="E24" s="202">
        <f>E19</f>
        <v>159.77060065202568</v>
      </c>
      <c r="F24" s="203">
        <f>F19</f>
        <v>604.1447345463321</v>
      </c>
    </row>
    <row r="25" spans="1:6" ht="15.75" hidden="1">
      <c r="A25" s="77"/>
      <c r="B25" s="167"/>
      <c r="C25" s="202"/>
      <c r="D25" s="202"/>
      <c r="E25" s="202"/>
      <c r="F25" s="203"/>
    </row>
    <row r="26" spans="1:6" ht="15.75" hidden="1">
      <c r="A26" s="77"/>
      <c r="B26" s="169"/>
      <c r="C26" s="202"/>
      <c r="D26" s="202"/>
      <c r="E26" s="202"/>
      <c r="F26" s="203"/>
    </row>
    <row r="27" spans="1:6" ht="15.75" hidden="1">
      <c r="A27" s="77"/>
      <c r="B27" s="169"/>
      <c r="C27" s="202"/>
      <c r="D27" s="202"/>
      <c r="E27" s="202"/>
      <c r="F27" s="203"/>
    </row>
    <row r="28" spans="1:6" ht="15.75">
      <c r="A28" s="77" t="s">
        <v>35</v>
      </c>
      <c r="B28" s="167" t="s">
        <v>36</v>
      </c>
      <c r="C28" s="202"/>
      <c r="D28" s="202"/>
      <c r="E28" s="202"/>
      <c r="F28" s="203"/>
    </row>
    <row r="29" spans="1:7" ht="15.75">
      <c r="A29" s="77" t="s">
        <v>37</v>
      </c>
      <c r="B29" s="167" t="s">
        <v>38</v>
      </c>
      <c r="C29" s="202">
        <f>C31</f>
        <v>5.56853740369281</v>
      </c>
      <c r="D29" s="202">
        <f>D31</f>
        <v>61.4904689195796</v>
      </c>
      <c r="E29" s="202">
        <f>E31</f>
        <v>95.37438445828712</v>
      </c>
      <c r="F29" s="203">
        <f>+C29+D29+E29</f>
        <v>162.43339078155952</v>
      </c>
      <c r="G29" s="95">
        <f>F29-E29-D29-C29</f>
        <v>-8.881784197001252E-15</v>
      </c>
    </row>
    <row r="30" spans="1:6" ht="31.5">
      <c r="A30" s="77" t="s">
        <v>39</v>
      </c>
      <c r="B30" s="167" t="s">
        <v>95</v>
      </c>
      <c r="C30" s="202">
        <f>C31</f>
        <v>5.56853740369281</v>
      </c>
      <c r="D30" s="202">
        <f>D31</f>
        <v>61.4904689195796</v>
      </c>
      <c r="E30" s="202">
        <f>E31</f>
        <v>95.37438445828712</v>
      </c>
      <c r="F30" s="203">
        <f>F31</f>
        <v>162.43339078155952</v>
      </c>
    </row>
    <row r="31" spans="1:7" ht="15.75">
      <c r="A31" s="77" t="s">
        <v>96</v>
      </c>
      <c r="B31" s="169" t="s">
        <v>174</v>
      </c>
      <c r="C31" s="202">
        <f>'прил.1'!O32</f>
        <v>5.56853740369281</v>
      </c>
      <c r="D31" s="202">
        <f>'прил.1'!W32</f>
        <v>61.4904689195796</v>
      </c>
      <c r="E31" s="202">
        <f>'прил.1'!AE32</f>
        <v>95.37438445828712</v>
      </c>
      <c r="F31" s="203">
        <f>+C31+D31+E31</f>
        <v>162.43339078155952</v>
      </c>
      <c r="G31" s="95">
        <f>F31-E31-D31-C31</f>
        <v>-8.881784197001252E-15</v>
      </c>
    </row>
    <row r="32" spans="1:6" ht="15.75" hidden="1">
      <c r="A32" s="77"/>
      <c r="B32" s="169"/>
      <c r="C32" s="202"/>
      <c r="D32" s="202"/>
      <c r="E32" s="202"/>
      <c r="F32" s="203"/>
    </row>
    <row r="33" spans="1:6" ht="15.75" hidden="1">
      <c r="A33" s="77"/>
      <c r="B33" s="169"/>
      <c r="C33" s="202"/>
      <c r="D33" s="202"/>
      <c r="E33" s="202"/>
      <c r="F33" s="203"/>
    </row>
    <row r="34" spans="1:6" ht="15.75">
      <c r="A34" s="77" t="s">
        <v>40</v>
      </c>
      <c r="B34" s="167" t="s">
        <v>98</v>
      </c>
      <c r="C34" s="202"/>
      <c r="D34" s="202"/>
      <c r="E34" s="202"/>
      <c r="F34" s="203"/>
    </row>
    <row r="35" spans="1:6" ht="31.5">
      <c r="A35" s="77" t="s">
        <v>41</v>
      </c>
      <c r="B35" s="167" t="s">
        <v>42</v>
      </c>
      <c r="C35" s="202"/>
      <c r="D35" s="202"/>
      <c r="E35" s="202"/>
      <c r="F35" s="203"/>
    </row>
    <row r="36" spans="1:6" ht="15.75" hidden="1">
      <c r="A36" s="77" t="s">
        <v>99</v>
      </c>
      <c r="B36" s="169" t="s">
        <v>97</v>
      </c>
      <c r="C36" s="202"/>
      <c r="D36" s="202"/>
      <c r="E36" s="202"/>
      <c r="F36" s="203"/>
    </row>
    <row r="37" spans="1:6" ht="15.75" hidden="1">
      <c r="A37" s="77"/>
      <c r="B37" s="169"/>
      <c r="C37" s="202"/>
      <c r="D37" s="202"/>
      <c r="E37" s="202"/>
      <c r="F37" s="203"/>
    </row>
    <row r="38" spans="1:6" ht="15.75" hidden="1">
      <c r="A38" s="77"/>
      <c r="B38" s="169"/>
      <c r="C38" s="202"/>
      <c r="D38" s="202"/>
      <c r="E38" s="202"/>
      <c r="F38" s="203"/>
    </row>
    <row r="39" spans="1:8" s="96" customFormat="1" ht="15.75">
      <c r="A39" s="77" t="s">
        <v>43</v>
      </c>
      <c r="B39" s="166" t="s">
        <v>44</v>
      </c>
      <c r="C39" s="202">
        <f>'прил.1'!Q32</f>
        <v>46.466611928333336</v>
      </c>
      <c r="D39" s="202">
        <f>'прил.1'!Y32</f>
        <v>55.82001611518241</v>
      </c>
      <c r="E39" s="202">
        <f>'прил.1'!AG32</f>
        <v>51.02899702206257</v>
      </c>
      <c r="F39" s="203">
        <f>SUM(C39:E39)</f>
        <v>153.31562506557833</v>
      </c>
      <c r="G39" s="95">
        <f>F39-E39-D39-C39</f>
        <v>0</v>
      </c>
      <c r="H39" s="198"/>
    </row>
    <row r="40" spans="1:6" ht="15.75">
      <c r="A40" s="77" t="s">
        <v>45</v>
      </c>
      <c r="B40" s="166" t="s">
        <v>46</v>
      </c>
      <c r="C40" s="202"/>
      <c r="D40" s="202"/>
      <c r="E40" s="202"/>
      <c r="F40" s="203"/>
    </row>
    <row r="41" spans="1:8" ht="18.75">
      <c r="A41" s="77" t="s">
        <v>47</v>
      </c>
      <c r="B41" s="167" t="s">
        <v>100</v>
      </c>
      <c r="C41" s="194"/>
      <c r="D41" s="194"/>
      <c r="E41" s="194"/>
      <c r="F41" s="195"/>
      <c r="G41" s="97"/>
      <c r="H41" s="98"/>
    </row>
    <row r="42" spans="1:8" ht="18.75">
      <c r="A42" s="77" t="s">
        <v>101</v>
      </c>
      <c r="B42" s="167" t="s">
        <v>102</v>
      </c>
      <c r="C42" s="194"/>
      <c r="D42" s="194"/>
      <c r="E42" s="194"/>
      <c r="F42" s="195"/>
      <c r="G42" s="97"/>
      <c r="H42" s="98"/>
    </row>
    <row r="43" spans="1:6" ht="15.75">
      <c r="A43" s="77" t="s">
        <v>48</v>
      </c>
      <c r="B43" s="168" t="s">
        <v>49</v>
      </c>
      <c r="C43" s="194"/>
      <c r="D43" s="194"/>
      <c r="E43" s="194"/>
      <c r="F43" s="195"/>
    </row>
    <row r="44" spans="1:6" ht="15.75">
      <c r="A44" s="77" t="s">
        <v>50</v>
      </c>
      <c r="B44" s="166" t="s">
        <v>51</v>
      </c>
      <c r="C44" s="194"/>
      <c r="D44" s="194"/>
      <c r="E44" s="194"/>
      <c r="F44" s="195"/>
    </row>
    <row r="45" spans="1:6" ht="15.75">
      <c r="A45" s="77" t="s">
        <v>52</v>
      </c>
      <c r="B45" s="166" t="s">
        <v>53</v>
      </c>
      <c r="C45" s="194"/>
      <c r="D45" s="194"/>
      <c r="E45" s="194"/>
      <c r="F45" s="195"/>
    </row>
    <row r="46" spans="1:6" ht="15.75">
      <c r="A46" s="77" t="s">
        <v>54</v>
      </c>
      <c r="B46" s="166" t="s">
        <v>55</v>
      </c>
      <c r="C46" s="194"/>
      <c r="D46" s="194"/>
      <c r="E46" s="194"/>
      <c r="F46" s="195"/>
    </row>
    <row r="47" spans="1:6" ht="15.75">
      <c r="A47" s="77" t="s">
        <v>56</v>
      </c>
      <c r="B47" s="166" t="s">
        <v>57</v>
      </c>
      <c r="C47" s="194"/>
      <c r="D47" s="194"/>
      <c r="E47" s="194"/>
      <c r="F47" s="195"/>
    </row>
    <row r="48" spans="1:6" ht="15.75">
      <c r="A48" s="77" t="s">
        <v>58</v>
      </c>
      <c r="B48" s="166" t="s">
        <v>103</v>
      </c>
      <c r="C48" s="194"/>
      <c r="D48" s="194"/>
      <c r="E48" s="194"/>
      <c r="F48" s="195"/>
    </row>
    <row r="49" spans="1:6" ht="15.75">
      <c r="A49" s="77" t="s">
        <v>59</v>
      </c>
      <c r="B49" s="167" t="s">
        <v>104</v>
      </c>
      <c r="C49" s="194"/>
      <c r="D49" s="194"/>
      <c r="E49" s="194"/>
      <c r="F49" s="195"/>
    </row>
    <row r="50" spans="1:6" ht="31.5">
      <c r="A50" s="77" t="s">
        <v>60</v>
      </c>
      <c r="B50" s="169" t="s">
        <v>105</v>
      </c>
      <c r="C50" s="194"/>
      <c r="D50" s="194"/>
      <c r="E50" s="194"/>
      <c r="F50" s="195"/>
    </row>
    <row r="51" spans="1:6" ht="31.5">
      <c r="A51" s="77" t="s">
        <v>61</v>
      </c>
      <c r="B51" s="167" t="s">
        <v>106</v>
      </c>
      <c r="C51" s="194"/>
      <c r="D51" s="194"/>
      <c r="E51" s="194"/>
      <c r="F51" s="195"/>
    </row>
    <row r="52" spans="1:6" ht="47.25">
      <c r="A52" s="77" t="s">
        <v>62</v>
      </c>
      <c r="B52" s="169" t="s">
        <v>107</v>
      </c>
      <c r="C52" s="194"/>
      <c r="D52" s="194"/>
      <c r="E52" s="194"/>
      <c r="F52" s="195"/>
    </row>
    <row r="53" spans="1:6" ht="15.75">
      <c r="A53" s="77" t="s">
        <v>63</v>
      </c>
      <c r="B53" s="166" t="s">
        <v>64</v>
      </c>
      <c r="C53" s="194"/>
      <c r="D53" s="194"/>
      <c r="E53" s="194"/>
      <c r="F53" s="195"/>
    </row>
    <row r="54" spans="1:6" ht="16.5" thickBot="1">
      <c r="A54" s="78" t="s">
        <v>65</v>
      </c>
      <c r="B54" s="170" t="s">
        <v>66</v>
      </c>
      <c r="C54" s="196"/>
      <c r="D54" s="196"/>
      <c r="E54" s="196"/>
      <c r="F54" s="197"/>
    </row>
    <row r="55" spans="3:6" ht="15.75">
      <c r="C55" s="99"/>
      <c r="D55" s="99"/>
      <c r="E55" s="99"/>
      <c r="F55" s="99"/>
    </row>
    <row r="56" spans="1:43" ht="83.25" customHeight="1">
      <c r="A56" s="49"/>
      <c r="B56" s="30"/>
      <c r="C56" s="50"/>
      <c r="D56" s="50"/>
      <c r="E56" s="50"/>
      <c r="F56" s="5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ht="20.25" customHeight="1">
      <c r="A57" s="221"/>
      <c r="B57" s="221"/>
      <c r="C57" s="221"/>
      <c r="D57" s="221"/>
      <c r="E57" s="221"/>
      <c r="F57" s="221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1" ht="15.75">
      <c r="A58" s="256"/>
      <c r="B58" s="256"/>
      <c r="C58" s="256"/>
      <c r="D58" s="256"/>
      <c r="E58" s="256"/>
      <c r="F58" s="25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5.75">
      <c r="A59" s="256"/>
      <c r="B59" s="256"/>
      <c r="C59" s="256"/>
      <c r="D59" s="256"/>
      <c r="E59" s="256"/>
      <c r="F59" s="25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7" ht="15.75">
      <c r="A60" s="227"/>
      <c r="B60" s="227"/>
      <c r="C60" s="227"/>
      <c r="D60" s="227"/>
      <c r="E60" s="227"/>
      <c r="F60" s="227"/>
      <c r="G60" s="11"/>
    </row>
    <row r="61" spans="1:6" ht="15.75">
      <c r="A61" s="257"/>
      <c r="B61" s="257"/>
      <c r="C61" s="257"/>
      <c r="D61" s="257"/>
      <c r="E61" s="257"/>
      <c r="F61" s="257"/>
    </row>
    <row r="63" spans="3:6" ht="15.75">
      <c r="C63" s="100"/>
      <c r="D63" s="100"/>
      <c r="E63" s="100"/>
      <c r="F63" s="100"/>
    </row>
    <row r="64" spans="3:5" ht="15.75">
      <c r="C64" s="101"/>
      <c r="D64" s="101"/>
      <c r="E64" s="101"/>
    </row>
  </sheetData>
  <sheetProtection/>
  <mergeCells count="16"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colBreaks count="1" manualBreakCount="1">
    <brk id="6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Анпилогова Ольга Сергеевна</cp:lastModifiedBy>
  <cp:lastPrinted>2021-04-29T06:40:39Z</cp:lastPrinted>
  <dcterms:created xsi:type="dcterms:W3CDTF">2004-09-19T06:34:55Z</dcterms:created>
  <dcterms:modified xsi:type="dcterms:W3CDTF">2021-04-29T06:40:43Z</dcterms:modified>
  <cp:category/>
  <cp:version/>
  <cp:contentType/>
  <cp:contentStatus/>
</cp:coreProperties>
</file>